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10" windowWidth="17235" windowHeight="11445" activeTab="2"/>
  </bookViews>
  <sheets>
    <sheet name="Carve-Out Estimator" sheetId="2" r:id="rId1"/>
    <sheet name="ADMw Estimator" sheetId="3" state="hidden" r:id="rId2"/>
    <sheet name="General Purpose Grant Estimator" sheetId="1" r:id="rId3"/>
  </sheets>
  <calcPr calcId="145621"/>
</workbook>
</file>

<file path=xl/calcChain.xml><?xml version="1.0" encoding="utf-8"?>
<calcChain xmlns="http://schemas.openxmlformats.org/spreadsheetml/2006/main">
  <c r="B1" i="1" l="1"/>
  <c r="B25" i="1"/>
  <c r="B48" i="1" l="1"/>
  <c r="B39" i="1"/>
  <c r="B26" i="1"/>
  <c r="F1" i="1"/>
  <c r="D1" i="1"/>
  <c r="B5" i="1" l="1"/>
  <c r="O1" i="1"/>
  <c r="G1" i="1"/>
  <c r="B21" i="1"/>
  <c r="A20" i="3" l="1"/>
  <c r="A21" i="3" s="1"/>
  <c r="A10" i="3"/>
  <c r="A7" i="3"/>
  <c r="A11" i="3" s="1"/>
  <c r="A12" i="3" s="1"/>
  <c r="A5" i="2"/>
  <c r="A8" i="2" s="1"/>
  <c r="A22" i="3" l="1"/>
  <c r="A14" i="3"/>
  <c r="B27" i="1"/>
  <c r="B22" i="1"/>
  <c r="A23" i="3" l="1"/>
  <c r="B29" i="1"/>
  <c r="B32" i="1" s="1"/>
  <c r="B33" i="1" l="1"/>
  <c r="B46" i="1" s="1"/>
  <c r="B50" i="1" s="1"/>
  <c r="G50" i="1" s="1"/>
  <c r="B45" i="1"/>
  <c r="B49" i="1" s="1"/>
  <c r="G49" i="1" s="1"/>
  <c r="G51" i="1" l="1"/>
  <c r="B51" i="1"/>
  <c r="B57" i="1" s="1"/>
  <c r="B58" i="1" s="1"/>
  <c r="B59" i="1" s="1"/>
</calcChain>
</file>

<file path=xl/sharedStrings.xml><?xml version="1.0" encoding="utf-8"?>
<sst xmlns="http://schemas.openxmlformats.org/spreadsheetml/2006/main" count="96" uniqueCount="88">
  <si>
    <t>Oregon Department of Education</t>
  </si>
  <si>
    <t>Year:</t>
  </si>
  <si>
    <t>Gross State Revenue:</t>
  </si>
  <si>
    <t>NQTL:</t>
  </si>
  <si>
    <t>OVSD:</t>
  </si>
  <si>
    <t>Reserve Account:</t>
  </si>
  <si>
    <t>Local Option Equalization Grant:</t>
  </si>
  <si>
    <t>Statewide Carve-Outs</t>
  </si>
  <si>
    <t>TAG:</t>
  </si>
  <si>
    <t>Speech Pathology:</t>
  </si>
  <si>
    <t>LTCT &amp; OSD:</t>
  </si>
  <si>
    <t>Small High School Grant:</t>
  </si>
  <si>
    <t>Total Statewide Carve-Outs:</t>
  </si>
  <si>
    <t>State funds available:</t>
  </si>
  <si>
    <t>Local Revenue</t>
  </si>
  <si>
    <t>Total Estimated Local Revenue:</t>
  </si>
  <si>
    <t>Estimated District Revenue:</t>
  </si>
  <si>
    <t>Estimated ESD Revenue:</t>
  </si>
  <si>
    <t>Total Estimated Revenue:</t>
  </si>
  <si>
    <t>Revenue Distribution</t>
  </si>
  <si>
    <t>District Revenue (95.5%):</t>
  </si>
  <si>
    <t>ESD Revenue (4.5%):</t>
  </si>
  <si>
    <t>District Specific Carve-Outs</t>
  </si>
  <si>
    <t>Facility Grant:</t>
  </si>
  <si>
    <t>High Cost Disability Grant:</t>
  </si>
  <si>
    <t>ESD Specific Carve-outs</t>
  </si>
  <si>
    <t xml:space="preserve">ESD Testing: </t>
  </si>
  <si>
    <t>Total District Funds:</t>
  </si>
  <si>
    <t>Total ESD Funds:</t>
  </si>
  <si>
    <t xml:space="preserve">NOTE: The actual formula is </t>
  </si>
  <si>
    <t>(1-0.955)/0.955* District amount</t>
  </si>
  <si>
    <t>Transportation Grant:</t>
  </si>
  <si>
    <t>Statewide ADMw:</t>
  </si>
  <si>
    <t>District Revenue per ADMw:</t>
  </si>
  <si>
    <t>ESD Revenue per ADMw:</t>
  </si>
  <si>
    <t>Estimated Ratio:</t>
  </si>
  <si>
    <t>District ADMw:</t>
  </si>
  <si>
    <t>District Teacher Experience Factor:</t>
  </si>
  <si>
    <t>Estimated General Purpose Grant:</t>
  </si>
  <si>
    <t>You will need to update with your data</t>
  </si>
  <si>
    <t>You may not need to update, but need to check to see if it has changed</t>
  </si>
  <si>
    <t>District Local Revenue:</t>
  </si>
  <si>
    <t>Estimated Total Revenue:</t>
  </si>
  <si>
    <t>Estimated State School Fund Grant:</t>
  </si>
  <si>
    <t>Carve-Out Impact Estimator</t>
  </si>
  <si>
    <t>Amount of new Carve-out</t>
  </si>
  <si>
    <t>Total Statewide ADMw</t>
  </si>
  <si>
    <t>Amount of loss per ADMw</t>
  </si>
  <si>
    <t>District extended ADMw</t>
  </si>
  <si>
    <t>Amount of loss to district</t>
  </si>
  <si>
    <t>Cells that you will need to change</t>
  </si>
  <si>
    <t>ADMw estimator</t>
  </si>
  <si>
    <t>Current Formula Funding</t>
  </si>
  <si>
    <t>Old extended ADMw</t>
  </si>
  <si>
    <t>Estimated additional weights</t>
  </si>
  <si>
    <t>New Statewide extended ADMw</t>
  </si>
  <si>
    <t>Transportation Grant</t>
  </si>
  <si>
    <t>Old Funding per weight</t>
  </si>
  <si>
    <t>New Funding per weight</t>
  </si>
  <si>
    <t>Difference</t>
  </si>
  <si>
    <t>Current district weights (add up the current year ADMw only)</t>
  </si>
  <si>
    <t>New additional weights to district</t>
  </si>
  <si>
    <t>Total new current year weights</t>
  </si>
  <si>
    <t>Change to district</t>
  </si>
  <si>
    <t>Statewide Weights</t>
  </si>
  <si>
    <t>Change in funding per weight and to district</t>
  </si>
  <si>
    <t>District's change in funding</t>
  </si>
  <si>
    <t>Change from extended ADMw</t>
  </si>
  <si>
    <t>Funding gain due to weights</t>
  </si>
  <si>
    <t>District change in funding</t>
  </si>
  <si>
    <t>Pediatric Nursing Facilities</t>
  </si>
  <si>
    <t>Note: May have to do some additional calculation to find this solution</t>
  </si>
  <si>
    <t>Free Lunch Subsidy</t>
  </si>
  <si>
    <t>ELL Statewide Program</t>
  </si>
  <si>
    <t>Office of School Facilities</t>
  </si>
  <si>
    <t>Molalla River SD</t>
  </si>
  <si>
    <t>Charter School Closure Funds</t>
  </si>
  <si>
    <t>2017-18</t>
  </si>
  <si>
    <t>Graduation Equity Fund</t>
  </si>
  <si>
    <t>% growth</t>
  </si>
  <si>
    <t xml:space="preserve">2016_17 LAB: </t>
  </si>
  <si>
    <t>$ per ADMw Forecasting Model</t>
  </si>
  <si>
    <t>2016_17 rate / ADMw</t>
  </si>
  <si>
    <t xml:space="preserve">Variance: </t>
  </si>
  <si>
    <t xml:space="preserve">$ variance over current yr.: </t>
  </si>
  <si>
    <t>Assumptions and variables</t>
  </si>
  <si>
    <t xml:space="preserve">Key: </t>
  </si>
  <si>
    <t>Of interest results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</si>
</sst>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0000000000000"/>
    <numFmt numFmtId="167" formatCode="_(* #,##0.00000_);_(* \(#,##0.00000\);_(* &quot;-&quot;??_);_(@_)"/>
    <numFmt numFmtId="168" formatCode="0.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/>
    <xf numFmtId="0" fontId="0" fillId="3" borderId="0" xfId="0" applyFill="1"/>
    <xf numFmtId="0" fontId="0" fillId="0" borderId="1" xfId="0" applyBorder="1"/>
    <xf numFmtId="0" fontId="0" fillId="0" borderId="0" xfId="0" applyBorder="1"/>
    <xf numFmtId="0" fontId="0" fillId="0" borderId="0" xfId="0" applyFill="1" applyBorder="1" applyAlignment="1">
      <alignment horizontal="right"/>
    </xf>
    <xf numFmtId="0" fontId="0" fillId="2" borderId="0" xfId="0" applyFill="1"/>
    <xf numFmtId="164" fontId="0" fillId="0" borderId="0" xfId="2" applyNumberFormat="1" applyFont="1" applyBorder="1"/>
    <xf numFmtId="0" fontId="0" fillId="4" borderId="0" xfId="0" applyFill="1"/>
    <xf numFmtId="164" fontId="0" fillId="4" borderId="1" xfId="2" applyNumberFormat="1" applyFont="1" applyFill="1" applyBorder="1"/>
    <xf numFmtId="0" fontId="0" fillId="4" borderId="1" xfId="0" applyFill="1" applyBorder="1"/>
    <xf numFmtId="165" fontId="3" fillId="4" borderId="1" xfId="1" applyNumberFormat="1" applyFont="1" applyFill="1" applyBorder="1"/>
    <xf numFmtId="0" fontId="3" fillId="4" borderId="1" xfId="0" applyFont="1" applyFill="1" applyBorder="1"/>
    <xf numFmtId="165" fontId="0" fillId="4" borderId="1" xfId="1" applyNumberFormat="1" applyFont="1" applyFill="1" applyBorder="1"/>
    <xf numFmtId="165" fontId="0" fillId="0" borderId="1" xfId="0" applyNumberFormat="1" applyBorder="1"/>
    <xf numFmtId="44" fontId="0" fillId="0" borderId="1" xfId="2" applyFont="1" applyBorder="1"/>
    <xf numFmtId="0" fontId="0" fillId="0" borderId="1" xfId="0" applyFill="1" applyBorder="1"/>
    <xf numFmtId="44" fontId="0" fillId="0" borderId="1" xfId="0" applyNumberFormat="1" applyBorder="1"/>
    <xf numFmtId="165" fontId="0" fillId="0" borderId="0" xfId="0" applyNumberFormat="1" applyBorder="1"/>
    <xf numFmtId="43" fontId="0" fillId="4" borderId="1" xfId="1" applyFont="1" applyFill="1" applyBorder="1"/>
    <xf numFmtId="43" fontId="1" fillId="0" borderId="1" xfId="1" applyFont="1" applyFill="1" applyBorder="1"/>
    <xf numFmtId="0" fontId="0" fillId="0" borderId="1" xfId="0" applyFont="1" applyFill="1" applyBorder="1"/>
    <xf numFmtId="43" fontId="0" fillId="0" borderId="1" xfId="0" applyNumberFormat="1" applyBorder="1"/>
    <xf numFmtId="43" fontId="3" fillId="4" borderId="1" xfId="1" applyFont="1" applyFill="1" applyBorder="1"/>
    <xf numFmtId="43" fontId="0" fillId="0" borderId="0" xfId="0" applyNumberFormat="1"/>
    <xf numFmtId="0" fontId="2" fillId="0" borderId="1" xfId="0" applyFont="1" applyBorder="1" applyAlignment="1" applyProtection="1">
      <alignment horizontal="right"/>
    </xf>
    <xf numFmtId="164" fontId="0" fillId="0" borderId="1" xfId="0" applyNumberFormat="1" applyBorder="1" applyProtection="1"/>
    <xf numFmtId="0" fontId="0" fillId="0" borderId="1" xfId="0" applyFill="1" applyBorder="1" applyAlignment="1" applyProtection="1">
      <alignment horizontal="right"/>
    </xf>
    <xf numFmtId="164" fontId="2" fillId="0" borderId="1" xfId="0" applyNumberFormat="1" applyFont="1" applyBorder="1" applyProtection="1"/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Protection="1">
      <protection locked="0"/>
    </xf>
    <xf numFmtId="164" fontId="0" fillId="3" borderId="1" xfId="2" applyNumberFormat="1" applyFont="1" applyFill="1" applyBorder="1" applyProtection="1"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1" xfId="2" applyNumberFormat="1" applyFont="1" applyFill="1" applyBorder="1" applyProtection="1">
      <protection locked="0"/>
    </xf>
    <xf numFmtId="0" fontId="0" fillId="0" borderId="0" xfId="0" applyProtection="1">
      <protection locked="0"/>
    </xf>
    <xf numFmtId="0" fontId="2" fillId="0" borderId="0" xfId="0" applyFont="1" applyBorder="1" applyProtection="1">
      <protection locked="0"/>
    </xf>
    <xf numFmtId="0" fontId="0" fillId="0" borderId="0" xfId="0" applyBorder="1" applyProtection="1">
      <protection locked="0"/>
    </xf>
    <xf numFmtId="0" fontId="2" fillId="0" borderId="0" xfId="0" applyFont="1" applyProtection="1">
      <protection locked="0"/>
    </xf>
    <xf numFmtId="0" fontId="0" fillId="3" borderId="1" xfId="0" applyFont="1" applyFill="1" applyBorder="1" applyAlignment="1" applyProtection="1">
      <alignment horizontal="right"/>
      <protection locked="0"/>
    </xf>
    <xf numFmtId="165" fontId="0" fillId="3" borderId="1" xfId="1" applyNumberFormat="1" applyFont="1" applyFill="1" applyBorder="1" applyAlignment="1" applyProtection="1">
      <alignment horizontal="right"/>
      <protection locked="0"/>
    </xf>
    <xf numFmtId="43" fontId="0" fillId="3" borderId="1" xfId="1" applyFont="1" applyFill="1" applyBorder="1" applyProtection="1">
      <protection locked="0"/>
    </xf>
    <xf numFmtId="44" fontId="0" fillId="3" borderId="1" xfId="2" applyFont="1" applyFill="1" applyBorder="1" applyProtection="1">
      <protection locked="0"/>
    </xf>
    <xf numFmtId="164" fontId="2" fillId="0" borderId="1" xfId="2" applyNumberFormat="1" applyFont="1" applyBorder="1" applyProtection="1"/>
    <xf numFmtId="0" fontId="0" fillId="0" borderId="0" xfId="0" applyProtection="1"/>
    <xf numFmtId="0" fontId="0" fillId="0" borderId="1" xfId="0" applyBorder="1" applyAlignment="1" applyProtection="1">
      <alignment horizontal="right"/>
    </xf>
    <xf numFmtId="166" fontId="0" fillId="0" borderId="1" xfId="2" applyNumberFormat="1" applyFont="1" applyBorder="1" applyAlignment="1" applyProtection="1">
      <alignment horizontal="right"/>
    </xf>
    <xf numFmtId="164" fontId="0" fillId="0" borderId="1" xfId="2" applyNumberFormat="1" applyFont="1" applyBorder="1" applyProtection="1"/>
    <xf numFmtId="44" fontId="0" fillId="0" borderId="1" xfId="2" applyFont="1" applyFill="1" applyBorder="1"/>
    <xf numFmtId="0" fontId="0" fillId="3" borderId="1" xfId="0" applyFill="1" applyBorder="1" applyAlignment="1" applyProtection="1">
      <alignment horizontal="right"/>
    </xf>
    <xf numFmtId="0" fontId="0" fillId="3" borderId="1" xfId="0" applyFill="1" applyBorder="1" applyProtection="1"/>
    <xf numFmtId="10" fontId="0" fillId="0" borderId="0" xfId="3" applyNumberFormat="1" applyFont="1"/>
    <xf numFmtId="44" fontId="0" fillId="0" borderId="0" xfId="0" applyNumberFormat="1"/>
    <xf numFmtId="44" fontId="0" fillId="0" borderId="0" xfId="2" applyFont="1"/>
    <xf numFmtId="164" fontId="0" fillId="0" borderId="0" xfId="2" applyNumberFormat="1" applyFont="1"/>
    <xf numFmtId="9" fontId="0" fillId="0" borderId="0" xfId="3" applyFont="1"/>
    <xf numFmtId="164" fontId="0" fillId="0" borderId="0" xfId="0" applyNumberFormat="1"/>
    <xf numFmtId="0" fontId="0" fillId="0" borderId="0" xfId="0" applyAlignment="1">
      <alignment horizontal="center"/>
    </xf>
    <xf numFmtId="44" fontId="0" fillId="5" borderId="0" xfId="0" applyNumberFormat="1" applyFill="1"/>
    <xf numFmtId="44" fontId="0" fillId="0" borderId="0" xfId="2" applyNumberFormat="1" applyFont="1"/>
    <xf numFmtId="0" fontId="0" fillId="0" borderId="0" xfId="0" applyFill="1"/>
    <xf numFmtId="44" fontId="0" fillId="0" borderId="0" xfId="2" applyFont="1" applyFill="1"/>
    <xf numFmtId="44" fontId="0" fillId="0" borderId="0" xfId="0" applyNumberFormat="1" applyFill="1"/>
    <xf numFmtId="0" fontId="0" fillId="0" borderId="0" xfId="0" applyFill="1" applyAlignment="1">
      <alignment horizontal="left"/>
    </xf>
    <xf numFmtId="0" fontId="0" fillId="6" borderId="0" xfId="0" applyFill="1"/>
    <xf numFmtId="167" fontId="0" fillId="6" borderId="0" xfId="1" applyNumberFormat="1" applyFont="1" applyFill="1"/>
    <xf numFmtId="168" fontId="0" fillId="6" borderId="0" xfId="0" applyNumberFormat="1" applyFill="1"/>
    <xf numFmtId="0" fontId="0" fillId="0" borderId="0" xfId="0" applyAlignment="1">
      <alignment horizontal="right"/>
    </xf>
    <xf numFmtId="9" fontId="0" fillId="7" borderId="0" xfId="3" applyFont="1" applyFill="1"/>
    <xf numFmtId="44" fontId="0" fillId="5" borderId="1" xfId="2" applyFont="1" applyFill="1" applyBorder="1" applyAlignment="1" applyProtection="1">
      <alignment horizontal="right"/>
    </xf>
    <xf numFmtId="0" fontId="0" fillId="5" borderId="0" xfId="0" applyFill="1"/>
    <xf numFmtId="0" fontId="2" fillId="0" borderId="0" xfId="0" applyFont="1" applyFill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D8" sqref="D8"/>
    </sheetView>
  </sheetViews>
  <sheetFormatPr defaultRowHeight="15" x14ac:dyDescent="0.25"/>
  <cols>
    <col min="1" max="1" width="18.42578125" customWidth="1"/>
    <col min="2" max="2" width="24.42578125" bestFit="1" customWidth="1"/>
  </cols>
  <sheetData>
    <row r="1" spans="1:4" x14ac:dyDescent="0.25">
      <c r="A1" s="1" t="s">
        <v>44</v>
      </c>
    </row>
    <row r="3" spans="1:4" x14ac:dyDescent="0.25">
      <c r="A3" s="9">
        <v>4500000</v>
      </c>
      <c r="B3" s="10" t="s">
        <v>45</v>
      </c>
    </row>
    <row r="4" spans="1:4" x14ac:dyDescent="0.25">
      <c r="A4" s="13">
        <v>709000</v>
      </c>
      <c r="B4" s="10" t="s">
        <v>46</v>
      </c>
    </row>
    <row r="5" spans="1:4" x14ac:dyDescent="0.25">
      <c r="A5" s="49">
        <f>A3/A4</f>
        <v>6.3469675599435824</v>
      </c>
      <c r="B5" s="16" t="s">
        <v>47</v>
      </c>
    </row>
    <row r="7" spans="1:4" x14ac:dyDescent="0.25">
      <c r="A7" s="23">
        <v>3205.16</v>
      </c>
      <c r="B7" s="12" t="s">
        <v>48</v>
      </c>
      <c r="D7" t="s">
        <v>75</v>
      </c>
    </row>
    <row r="8" spans="1:4" x14ac:dyDescent="0.25">
      <c r="A8" s="17">
        <f>A7*A5</f>
        <v>20343.046544428773</v>
      </c>
      <c r="B8" s="3" t="s">
        <v>49</v>
      </c>
    </row>
    <row r="10" spans="1:4" x14ac:dyDescent="0.25">
      <c r="A10" s="8"/>
      <c r="B10" t="s">
        <v>50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workbookViewId="0">
      <selection activeCell="A11" sqref="A11"/>
    </sheetView>
  </sheetViews>
  <sheetFormatPr defaultRowHeight="15" x14ac:dyDescent="0.25"/>
  <cols>
    <col min="1" max="1" width="17.42578125" customWidth="1"/>
    <col min="2" max="2" width="56.28515625" bestFit="1" customWidth="1"/>
    <col min="5" max="5" width="9.5703125" bestFit="1" customWidth="1"/>
  </cols>
  <sheetData>
    <row r="1" spans="1:5" x14ac:dyDescent="0.25">
      <c r="A1" s="1" t="s">
        <v>51</v>
      </c>
    </row>
    <row r="2" spans="1:5" x14ac:dyDescent="0.25">
      <c r="A2" s="1" t="s">
        <v>64</v>
      </c>
    </row>
    <row r="3" spans="1:5" x14ac:dyDescent="0.25">
      <c r="A3" s="9">
        <v>4943483833</v>
      </c>
      <c r="B3" s="10" t="s">
        <v>52</v>
      </c>
    </row>
    <row r="4" spans="1:5" x14ac:dyDescent="0.25">
      <c r="A4" s="9">
        <v>201696199</v>
      </c>
      <c r="B4" s="10" t="s">
        <v>56</v>
      </c>
    </row>
    <row r="5" spans="1:5" x14ac:dyDescent="0.25">
      <c r="A5" s="11">
        <v>704500</v>
      </c>
      <c r="B5" s="12" t="s">
        <v>53</v>
      </c>
    </row>
    <row r="6" spans="1:5" x14ac:dyDescent="0.25">
      <c r="A6" s="13">
        <v>-2000</v>
      </c>
      <c r="B6" s="10" t="s">
        <v>54</v>
      </c>
    </row>
    <row r="7" spans="1:5" x14ac:dyDescent="0.25">
      <c r="A7" s="14">
        <f>SUM(A5:A6)</f>
        <v>702500</v>
      </c>
      <c r="B7" s="3" t="s">
        <v>55</v>
      </c>
    </row>
    <row r="8" spans="1:5" x14ac:dyDescent="0.25">
      <c r="A8" s="18"/>
      <c r="B8" s="4"/>
    </row>
    <row r="9" spans="1:5" x14ac:dyDescent="0.25">
      <c r="A9" s="1" t="s">
        <v>65</v>
      </c>
    </row>
    <row r="10" spans="1:5" x14ac:dyDescent="0.25">
      <c r="A10" s="15">
        <f>(A3-A4)/A5</f>
        <v>6730.7134620298084</v>
      </c>
      <c r="B10" s="3" t="s">
        <v>57</v>
      </c>
    </row>
    <row r="11" spans="1:5" x14ac:dyDescent="0.25">
      <c r="A11" s="15">
        <f>(A3-A4)/A7</f>
        <v>6749.8756355871883</v>
      </c>
      <c r="B11" s="3" t="s">
        <v>58</v>
      </c>
    </row>
    <row r="12" spans="1:5" x14ac:dyDescent="0.25">
      <c r="A12" s="15">
        <f>A11-A10</f>
        <v>19.162173557379901</v>
      </c>
      <c r="B12" s="3" t="s">
        <v>59</v>
      </c>
    </row>
    <row r="13" spans="1:5" x14ac:dyDescent="0.25">
      <c r="A13" s="19">
        <v>15156.2</v>
      </c>
      <c r="B13" s="10" t="s">
        <v>48</v>
      </c>
    </row>
    <row r="14" spans="1:5" x14ac:dyDescent="0.25">
      <c r="A14" s="17">
        <f>A12*A13</f>
        <v>290425.73487036128</v>
      </c>
      <c r="B14" s="16" t="s">
        <v>63</v>
      </c>
      <c r="E14" s="24"/>
    </row>
    <row r="15" spans="1:5" x14ac:dyDescent="0.25">
      <c r="E15" s="24"/>
    </row>
    <row r="16" spans="1:5" x14ac:dyDescent="0.25">
      <c r="E16" s="24"/>
    </row>
    <row r="17" spans="1:3" x14ac:dyDescent="0.25">
      <c r="A17" t="s">
        <v>66</v>
      </c>
    </row>
    <row r="18" spans="1:3" x14ac:dyDescent="0.25">
      <c r="A18" s="19">
        <v>15156.2</v>
      </c>
      <c r="B18" s="10" t="s">
        <v>60</v>
      </c>
    </row>
    <row r="19" spans="1:3" x14ac:dyDescent="0.25">
      <c r="A19" s="13">
        <v>303.12</v>
      </c>
      <c r="B19" s="10" t="s">
        <v>61</v>
      </c>
      <c r="C19" t="s">
        <v>71</v>
      </c>
    </row>
    <row r="20" spans="1:3" x14ac:dyDescent="0.25">
      <c r="A20" s="20">
        <f>A18+A19</f>
        <v>15459.320000000002</v>
      </c>
      <c r="B20" s="21" t="s">
        <v>62</v>
      </c>
    </row>
    <row r="21" spans="1:3" x14ac:dyDescent="0.25">
      <c r="A21" s="22">
        <f>IF(A20-A13&lt;=0,0,A20-A13)</f>
        <v>303.1200000000008</v>
      </c>
      <c r="B21" s="21" t="s">
        <v>67</v>
      </c>
    </row>
    <row r="22" spans="1:3" x14ac:dyDescent="0.25">
      <c r="A22" s="15">
        <f>A21*A11</f>
        <v>2046022.302659194</v>
      </c>
      <c r="B22" s="21" t="s">
        <v>68</v>
      </c>
    </row>
    <row r="23" spans="1:3" x14ac:dyDescent="0.25">
      <c r="A23" s="17">
        <f>A22+A14</f>
        <v>2336448.0375295551</v>
      </c>
      <c r="B23" s="21" t="s">
        <v>69</v>
      </c>
    </row>
    <row r="27" spans="1:3" x14ac:dyDescent="0.25">
      <c r="A27" s="8"/>
      <c r="B27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"/>
  <sheetViews>
    <sheetView tabSelected="1" workbookViewId="0">
      <selection activeCell="F18" sqref="F18"/>
    </sheetView>
  </sheetViews>
  <sheetFormatPr defaultRowHeight="15" x14ac:dyDescent="0.25"/>
  <cols>
    <col min="1" max="1" width="32.5703125" customWidth="1"/>
    <col min="2" max="2" width="26" customWidth="1"/>
    <col min="3" max="3" width="16.28515625" bestFit="1" customWidth="1"/>
    <col min="4" max="4" width="21.7109375" bestFit="1" customWidth="1"/>
    <col min="6" max="6" width="25.28515625" bestFit="1" customWidth="1"/>
    <col min="7" max="7" width="15.28515625" bestFit="1" customWidth="1"/>
    <col min="9" max="9" width="10.5703125" bestFit="1" customWidth="1"/>
    <col min="13" max="13" width="18" bestFit="1" customWidth="1"/>
    <col min="14" max="14" width="9.7109375" bestFit="1" customWidth="1"/>
    <col min="15" max="15" width="12.5703125" bestFit="1" customWidth="1"/>
    <col min="16" max="16" width="11" bestFit="1" customWidth="1"/>
  </cols>
  <sheetData>
    <row r="1" spans="1:15" x14ac:dyDescent="0.25">
      <c r="A1" s="1" t="s">
        <v>0</v>
      </c>
      <c r="B1" s="55">
        <f>7725000000+75000000</f>
        <v>7800000000</v>
      </c>
      <c r="C1" s="69">
        <v>0.49</v>
      </c>
      <c r="D1" s="57">
        <f>B1*C1</f>
        <v>3822000000</v>
      </c>
      <c r="E1" s="69">
        <v>0.51</v>
      </c>
      <c r="F1" s="57">
        <f>B1*E1</f>
        <v>3978000000</v>
      </c>
      <c r="G1" s="57">
        <f>F1+D1</f>
        <v>7800000000</v>
      </c>
      <c r="L1" s="68" t="s">
        <v>80</v>
      </c>
      <c r="M1" s="55">
        <v>3747130346</v>
      </c>
      <c r="N1" s="68" t="s">
        <v>83</v>
      </c>
      <c r="O1" s="57">
        <f>D1-M1</f>
        <v>74869654</v>
      </c>
    </row>
    <row r="2" spans="1:15" x14ac:dyDescent="0.25">
      <c r="A2" t="s">
        <v>81</v>
      </c>
    </row>
    <row r="4" spans="1:15" x14ac:dyDescent="0.25">
      <c r="A4" s="29" t="s">
        <v>1</v>
      </c>
      <c r="B4" s="30" t="s">
        <v>77</v>
      </c>
      <c r="C4" s="68"/>
    </row>
    <row r="5" spans="1:15" x14ac:dyDescent="0.25">
      <c r="A5" s="29" t="s">
        <v>2</v>
      </c>
      <c r="B5" s="31">
        <f>D1</f>
        <v>3822000000</v>
      </c>
      <c r="D5" s="56"/>
    </row>
    <row r="6" spans="1:15" x14ac:dyDescent="0.25">
      <c r="A6" s="32" t="s">
        <v>7</v>
      </c>
      <c r="B6" s="33"/>
    </row>
    <row r="7" spans="1:15" x14ac:dyDescent="0.25">
      <c r="A7" s="34" t="s">
        <v>72</v>
      </c>
      <c r="B7" s="35">
        <v>1197797</v>
      </c>
    </row>
    <row r="8" spans="1:15" x14ac:dyDescent="0.25">
      <c r="A8" s="34" t="s">
        <v>73</v>
      </c>
      <c r="B8" s="35">
        <v>6250000</v>
      </c>
    </row>
    <row r="9" spans="1:15" x14ac:dyDescent="0.25">
      <c r="A9" s="34" t="s">
        <v>8</v>
      </c>
      <c r="B9" s="35">
        <v>175000</v>
      </c>
    </row>
    <row r="10" spans="1:15" x14ac:dyDescent="0.25">
      <c r="A10" s="34" t="s">
        <v>9</v>
      </c>
      <c r="B10" s="35">
        <v>75000</v>
      </c>
    </row>
    <row r="11" spans="1:15" x14ac:dyDescent="0.25">
      <c r="A11" s="34" t="s">
        <v>76</v>
      </c>
      <c r="B11" s="35">
        <v>250000</v>
      </c>
    </row>
    <row r="12" spans="1:15" x14ac:dyDescent="0.25">
      <c r="A12" s="34" t="s">
        <v>74</v>
      </c>
      <c r="B12" s="35">
        <v>1250000</v>
      </c>
    </row>
    <row r="13" spans="1:15" x14ac:dyDescent="0.25">
      <c r="A13" s="34" t="s">
        <v>3</v>
      </c>
      <c r="B13" s="35">
        <v>2500000</v>
      </c>
    </row>
    <row r="14" spans="1:15" x14ac:dyDescent="0.25">
      <c r="A14" s="34" t="s">
        <v>6</v>
      </c>
      <c r="B14" s="35">
        <v>1412645</v>
      </c>
    </row>
    <row r="15" spans="1:15" x14ac:dyDescent="0.25">
      <c r="A15" s="34" t="s">
        <v>70</v>
      </c>
      <c r="B15" s="35">
        <v>2577479</v>
      </c>
    </row>
    <row r="16" spans="1:15" x14ac:dyDescent="0.25">
      <c r="A16" s="34" t="s">
        <v>5</v>
      </c>
      <c r="B16" s="35">
        <v>20000000</v>
      </c>
    </row>
    <row r="17" spans="1:4" x14ac:dyDescent="0.25">
      <c r="A17" s="34" t="s">
        <v>10</v>
      </c>
      <c r="B17" s="35">
        <v>12500000</v>
      </c>
    </row>
    <row r="18" spans="1:4" x14ac:dyDescent="0.25">
      <c r="A18" s="34" t="s">
        <v>11</v>
      </c>
      <c r="B18" s="35">
        <v>2500000</v>
      </c>
    </row>
    <row r="19" spans="1:4" x14ac:dyDescent="0.25">
      <c r="A19" s="34" t="s">
        <v>78</v>
      </c>
      <c r="B19" s="35">
        <v>20000000</v>
      </c>
    </row>
    <row r="20" spans="1:4" x14ac:dyDescent="0.25">
      <c r="A20" s="34" t="s">
        <v>4</v>
      </c>
      <c r="B20" s="35">
        <v>800000</v>
      </c>
    </row>
    <row r="21" spans="1:4" x14ac:dyDescent="0.25">
      <c r="A21" s="25" t="s">
        <v>12</v>
      </c>
      <c r="B21" s="26">
        <f>SUM(B7:B20)</f>
        <v>71487921</v>
      </c>
    </row>
    <row r="22" spans="1:4" x14ac:dyDescent="0.25">
      <c r="A22" s="27" t="s">
        <v>13</v>
      </c>
      <c r="B22" s="28">
        <f>B5-B21</f>
        <v>3750512079</v>
      </c>
    </row>
    <row r="23" spans="1:4" ht="9" customHeight="1" x14ac:dyDescent="0.25">
      <c r="A23" s="36"/>
      <c r="B23" s="36"/>
    </row>
    <row r="24" spans="1:4" x14ac:dyDescent="0.25">
      <c r="A24" s="37" t="s">
        <v>14</v>
      </c>
      <c r="B24" s="38"/>
    </row>
    <row r="25" spans="1:4" x14ac:dyDescent="0.25">
      <c r="A25" s="29" t="s">
        <v>16</v>
      </c>
      <c r="B25" s="31">
        <f>1740551208*C25</f>
        <v>1811913807.5279999</v>
      </c>
      <c r="C25" s="65">
        <v>1.0409999999999999</v>
      </c>
      <c r="D25" t="s">
        <v>79</v>
      </c>
    </row>
    <row r="26" spans="1:4" x14ac:dyDescent="0.25">
      <c r="A26" s="29" t="s">
        <v>17</v>
      </c>
      <c r="B26" s="31">
        <f>116209408*C26</f>
        <v>120973993.72799999</v>
      </c>
      <c r="C26" s="65">
        <v>1.0409999999999999</v>
      </c>
      <c r="D26" t="s">
        <v>79</v>
      </c>
    </row>
    <row r="27" spans="1:4" x14ac:dyDescent="0.25">
      <c r="A27" s="25" t="s">
        <v>15</v>
      </c>
      <c r="B27" s="44">
        <f>SUM(B25:B26)</f>
        <v>1932887801.2559998</v>
      </c>
    </row>
    <row r="28" spans="1:4" ht="9" customHeight="1" x14ac:dyDescent="0.25">
      <c r="A28" s="45"/>
      <c r="B28" s="45"/>
    </row>
    <row r="29" spans="1:4" x14ac:dyDescent="0.25">
      <c r="A29" s="25" t="s">
        <v>18</v>
      </c>
      <c r="B29" s="28">
        <f>SUM(B27,B22)</f>
        <v>5683399880.2559996</v>
      </c>
    </row>
    <row r="30" spans="1:4" ht="9" customHeight="1" x14ac:dyDescent="0.25">
      <c r="A30" s="36"/>
      <c r="B30" s="36"/>
    </row>
    <row r="31" spans="1:4" x14ac:dyDescent="0.25">
      <c r="A31" s="37" t="s">
        <v>19</v>
      </c>
      <c r="B31" s="38"/>
    </row>
    <row r="32" spans="1:4" x14ac:dyDescent="0.25">
      <c r="A32" s="27" t="s">
        <v>20</v>
      </c>
      <c r="B32" s="26">
        <f>B29*0.955</f>
        <v>5427646885.6444798</v>
      </c>
    </row>
    <row r="33" spans="1:6" x14ac:dyDescent="0.25">
      <c r="A33" s="27" t="s">
        <v>21</v>
      </c>
      <c r="B33" s="26">
        <f>B32*(1-0.955)/0.955</f>
        <v>255752994.61152023</v>
      </c>
      <c r="C33" t="s">
        <v>29</v>
      </c>
    </row>
    <row r="34" spans="1:6" ht="15" customHeight="1" x14ac:dyDescent="0.25">
      <c r="A34" s="36"/>
      <c r="B34" s="36"/>
      <c r="C34" t="s">
        <v>30</v>
      </c>
    </row>
    <row r="35" spans="1:6" x14ac:dyDescent="0.25">
      <c r="A35" s="39" t="s">
        <v>22</v>
      </c>
      <c r="B35" s="36"/>
    </row>
    <row r="36" spans="1:6" x14ac:dyDescent="0.25">
      <c r="A36" s="34" t="s">
        <v>3</v>
      </c>
      <c r="B36" s="35">
        <v>7748192</v>
      </c>
    </row>
    <row r="37" spans="1:6" x14ac:dyDescent="0.25">
      <c r="A37" s="34" t="s">
        <v>23</v>
      </c>
      <c r="B37" s="35">
        <v>6250000</v>
      </c>
    </row>
    <row r="38" spans="1:6" x14ac:dyDescent="0.25">
      <c r="A38" s="34" t="s">
        <v>24</v>
      </c>
      <c r="B38" s="35">
        <v>35000000</v>
      </c>
    </row>
    <row r="39" spans="1:6" x14ac:dyDescent="0.25">
      <c r="A39" s="29" t="s">
        <v>31</v>
      </c>
      <c r="B39" s="31">
        <f>205958731.1*C39</f>
        <v>210077905.722</v>
      </c>
      <c r="C39" s="66">
        <v>1.02</v>
      </c>
      <c r="D39" t="s">
        <v>79</v>
      </c>
    </row>
    <row r="40" spans="1:6" ht="8.25" customHeight="1" x14ac:dyDescent="0.25">
      <c r="A40" s="36"/>
      <c r="B40" s="36"/>
    </row>
    <row r="41" spans="1:6" x14ac:dyDescent="0.25">
      <c r="A41" s="39" t="s">
        <v>25</v>
      </c>
      <c r="B41" s="36"/>
    </row>
    <row r="42" spans="1:6" x14ac:dyDescent="0.25">
      <c r="A42" s="34" t="s">
        <v>3</v>
      </c>
      <c r="B42" s="35">
        <v>7748192</v>
      </c>
    </row>
    <row r="43" spans="1:6" x14ac:dyDescent="0.25">
      <c r="A43" s="34" t="s">
        <v>26</v>
      </c>
      <c r="B43" s="35">
        <v>484000</v>
      </c>
    </row>
    <row r="44" spans="1:6" ht="8.25" customHeight="1" x14ac:dyDescent="0.25">
      <c r="A44" s="36"/>
      <c r="B44" s="36"/>
    </row>
    <row r="45" spans="1:6" x14ac:dyDescent="0.25">
      <c r="A45" s="25" t="s">
        <v>27</v>
      </c>
      <c r="B45" s="26">
        <f>B32-SUM(B36:B39)</f>
        <v>5168570787.9224796</v>
      </c>
    </row>
    <row r="46" spans="1:6" x14ac:dyDescent="0.25">
      <c r="A46" s="25" t="s">
        <v>28</v>
      </c>
      <c r="B46" s="26">
        <f>B33-SUM(B42:B43)</f>
        <v>247520802.61152023</v>
      </c>
      <c r="E46" s="52"/>
    </row>
    <row r="47" spans="1:6" ht="8.25" customHeight="1" x14ac:dyDescent="0.25">
      <c r="A47" s="36"/>
      <c r="B47" s="36"/>
    </row>
    <row r="48" spans="1:6" x14ac:dyDescent="0.25">
      <c r="A48" s="40" t="s">
        <v>32</v>
      </c>
      <c r="B48" s="41">
        <f>709000*C48</f>
        <v>712332.29999999993</v>
      </c>
      <c r="C48" s="67">
        <v>1.0046999999999999</v>
      </c>
      <c r="D48" s="64" t="s">
        <v>79</v>
      </c>
      <c r="E48" s="61"/>
      <c r="F48" s="58" t="s">
        <v>82</v>
      </c>
    </row>
    <row r="49" spans="1:9" x14ac:dyDescent="0.25">
      <c r="A49" s="46" t="s">
        <v>33</v>
      </c>
      <c r="B49" s="70">
        <f>B45/B48</f>
        <v>7255.8422353197802</v>
      </c>
      <c r="D49" s="62"/>
      <c r="E49" s="63"/>
      <c r="F49" s="54">
        <v>7118</v>
      </c>
      <c r="G49" s="53">
        <f>B49-F49</f>
        <v>137.84223531978023</v>
      </c>
      <c r="I49" s="60"/>
    </row>
    <row r="50" spans="1:9" x14ac:dyDescent="0.25">
      <c r="A50" s="46" t="s">
        <v>34</v>
      </c>
      <c r="B50" s="70">
        <f>B46/B48</f>
        <v>347.47940337890088</v>
      </c>
      <c r="D50" s="62"/>
      <c r="E50" s="63"/>
      <c r="F50" s="54">
        <v>342.59</v>
      </c>
      <c r="G50" s="53">
        <f>B50-F50</f>
        <v>4.8894033789009086</v>
      </c>
      <c r="I50" s="60"/>
    </row>
    <row r="51" spans="1:9" x14ac:dyDescent="0.25">
      <c r="A51" s="46" t="s">
        <v>35</v>
      </c>
      <c r="B51" s="47">
        <f>B49/4500</f>
        <v>1.6124093856266177</v>
      </c>
      <c r="D51" s="61"/>
      <c r="E51" s="63"/>
      <c r="F51" s="68" t="s">
        <v>84</v>
      </c>
      <c r="G51" s="59">
        <f>SUM(G49:G50)</f>
        <v>142.73163869868114</v>
      </c>
    </row>
    <row r="52" spans="1:9" x14ac:dyDescent="0.25">
      <c r="A52" s="36"/>
      <c r="B52" s="36"/>
    </row>
    <row r="53" spans="1:9" x14ac:dyDescent="0.25">
      <c r="A53" s="29" t="s">
        <v>36</v>
      </c>
      <c r="B53" s="42"/>
    </row>
    <row r="54" spans="1:9" x14ac:dyDescent="0.25">
      <c r="A54" s="29" t="s">
        <v>31</v>
      </c>
      <c r="B54" s="43"/>
    </row>
    <row r="55" spans="1:9" x14ac:dyDescent="0.25">
      <c r="A55" s="29" t="s">
        <v>41</v>
      </c>
      <c r="B55" s="43"/>
    </row>
    <row r="56" spans="1:9" x14ac:dyDescent="0.25">
      <c r="A56" s="50" t="s">
        <v>37</v>
      </c>
      <c r="B56" s="51"/>
    </row>
    <row r="57" spans="1:9" x14ac:dyDescent="0.25">
      <c r="A57" s="27" t="s">
        <v>38</v>
      </c>
      <c r="B57" s="48">
        <f>B53*(4500+(25*B56))*B51</f>
        <v>0</v>
      </c>
    </row>
    <row r="58" spans="1:9" x14ac:dyDescent="0.25">
      <c r="A58" s="27" t="s">
        <v>42</v>
      </c>
      <c r="B58" s="48">
        <f>B57+B54</f>
        <v>0</v>
      </c>
    </row>
    <row r="59" spans="1:9" x14ac:dyDescent="0.25">
      <c r="A59" s="27" t="s">
        <v>43</v>
      </c>
      <c r="B59" s="48">
        <f>B58-B55</f>
        <v>0</v>
      </c>
    </row>
    <row r="60" spans="1:9" x14ac:dyDescent="0.25">
      <c r="A60" s="5"/>
      <c r="B60" s="7"/>
    </row>
    <row r="61" spans="1:9" x14ac:dyDescent="0.25">
      <c r="A61" s="72" t="s">
        <v>86</v>
      </c>
    </row>
    <row r="62" spans="1:9" x14ac:dyDescent="0.25">
      <c r="A62" s="2"/>
      <c r="B62" t="s">
        <v>39</v>
      </c>
    </row>
    <row r="63" spans="1:9" x14ac:dyDescent="0.25">
      <c r="A63" s="6"/>
      <c r="B63" t="s">
        <v>40</v>
      </c>
    </row>
    <row r="64" spans="1:9" x14ac:dyDescent="0.25">
      <c r="A64" s="65"/>
      <c r="B64" t="s">
        <v>85</v>
      </c>
    </row>
    <row r="65" spans="1:2" x14ac:dyDescent="0.25">
      <c r="A65" s="71"/>
      <c r="B65" t="s">
        <v>87</v>
      </c>
    </row>
  </sheetData>
  <pageMargins left="0.25" right="0.25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Carve-Out Estimator</vt:lpstr>
      <vt:lpstr>ADMw Estimator</vt:lpstr>
      <vt:lpstr>General Purpose Grant Estimator</vt:lpstr>
    </vt:vector>
  </TitlesOfParts>
  <Company>Oregon Department of Education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elliottm</dc:creator>
  <cp:lastModifiedBy>Administrator</cp:lastModifiedBy>
  <cp:lastPrinted>2013-07-19T22:48:33Z</cp:lastPrinted>
  <dcterms:created xsi:type="dcterms:W3CDTF">2013-07-19T22:15:50Z</dcterms:created>
  <dcterms:modified xsi:type="dcterms:W3CDTF">2017-01-25T16:49:59Z</dcterms:modified>
</cp:coreProperties>
</file>