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pdgmfill01\employee-resource\Contracts\Lidar\03-NEW PROJECT DOCUMENTS\"/>
    </mc:Choice>
  </mc:AlternateContent>
  <bookViews>
    <workbookView xWindow="3900" yWindow="3675" windowWidth="19530" windowHeight="118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1" i="1" l="1"/>
  <c r="E31" i="1"/>
  <c r="G31" i="1"/>
  <c r="D30" i="1"/>
  <c r="E30" i="1"/>
  <c r="F30" i="1"/>
  <c r="G30" i="1"/>
  <c r="H30" i="1"/>
  <c r="H29" i="1"/>
  <c r="G29" i="1"/>
  <c r="F29" i="1"/>
  <c r="E29" i="1"/>
  <c r="D29" i="1"/>
  <c r="D28" i="1"/>
  <c r="E28" i="1"/>
  <c r="F28" i="1"/>
  <c r="G28" i="1"/>
  <c r="H28" i="1"/>
  <c r="H27" i="1"/>
  <c r="G27" i="1"/>
  <c r="F27" i="1"/>
  <c r="E27" i="1"/>
  <c r="D27" i="1"/>
  <c r="D26" i="1"/>
  <c r="D25" i="1"/>
  <c r="D24" i="1"/>
  <c r="D23" i="1"/>
  <c r="D22" i="1"/>
  <c r="D21" i="1"/>
  <c r="K26" i="1"/>
  <c r="K25" i="1"/>
  <c r="K24" i="1"/>
  <c r="K23" i="1"/>
  <c r="K22" i="1"/>
  <c r="K21" i="1"/>
  <c r="M18" i="1"/>
  <c r="L18" i="1"/>
  <c r="K18" i="1"/>
  <c r="D15" i="1"/>
  <c r="E15" i="1"/>
  <c r="F15" i="1"/>
  <c r="G15" i="1"/>
  <c r="H15" i="1"/>
  <c r="H14" i="1"/>
  <c r="G14" i="1"/>
  <c r="F14" i="1"/>
  <c r="E14" i="1"/>
  <c r="D14" i="1"/>
  <c r="D13" i="1"/>
  <c r="E13" i="1"/>
  <c r="F13" i="1"/>
  <c r="G13" i="1"/>
  <c r="H13" i="1"/>
  <c r="K13" i="1"/>
  <c r="L13" i="1"/>
  <c r="M13" i="1"/>
  <c r="M12" i="1"/>
  <c r="L12" i="1"/>
  <c r="K12" i="1"/>
  <c r="H12" i="1"/>
  <c r="G12" i="1"/>
  <c r="F12" i="1"/>
  <c r="E12" i="1"/>
  <c r="D12" i="1"/>
  <c r="M10" i="1"/>
  <c r="L10" i="1"/>
  <c r="K10" i="1"/>
  <c r="E9" i="1"/>
  <c r="F9" i="1"/>
  <c r="G9" i="1"/>
  <c r="H9" i="1"/>
  <c r="H8" i="1"/>
  <c r="G8" i="1"/>
  <c r="F8" i="1"/>
  <c r="E8" i="1"/>
  <c r="D9" i="1"/>
  <c r="D8" i="1"/>
  <c r="H7" i="1"/>
  <c r="G7" i="1"/>
  <c r="F7" i="1"/>
  <c r="E7" i="1"/>
  <c r="D7" i="1"/>
  <c r="H6" i="1"/>
  <c r="G6" i="1"/>
  <c r="F6" i="1"/>
  <c r="E6" i="1"/>
  <c r="D6" i="1"/>
  <c r="M5" i="1"/>
  <c r="L5" i="1"/>
  <c r="K5" i="1"/>
  <c r="D5" i="1"/>
  <c r="F5" i="1"/>
  <c r="E5" i="1"/>
  <c r="F31" i="1" l="1"/>
  <c r="H5" i="1"/>
  <c r="H31" i="1"/>
  <c r="G5" i="1"/>
</calcChain>
</file>

<file path=xl/sharedStrings.xml><?xml version="1.0" encoding="utf-8"?>
<sst xmlns="http://schemas.openxmlformats.org/spreadsheetml/2006/main" count="131" uniqueCount="79">
  <si>
    <t xml:space="preserve">2.1 - 2.4 </t>
  </si>
  <si>
    <t xml:space="preserve">Lidar Survey (&gt;= 8 ppsm) &amp; Related Products </t>
  </si>
  <si>
    <t xml:space="preserve">1,000 feet </t>
  </si>
  <si>
    <t xml:space="preserve">2.5 a 1 </t>
  </si>
  <si>
    <r>
      <t xml:space="preserve">FRIES: 3-inch 4-band ortho imagery </t>
    </r>
    <r>
      <rPr>
        <b/>
        <sz val="12"/>
        <color rgb="FF000000"/>
        <rFont val="Calibri"/>
        <family val="2"/>
        <scheme val="minor"/>
      </rPr>
      <t>and</t>
    </r>
    <r>
      <rPr>
        <sz val="12"/>
        <color rgb="FF000000"/>
        <rFont val="Calibri"/>
        <family val="2"/>
        <scheme val="minor"/>
      </rPr>
      <t xml:space="preserve"> infusion of imagery-derived RGBI values into Lidar point cloud. 30% OVERLAP </t>
    </r>
  </si>
  <si>
    <t xml:space="preserve">n/a </t>
  </si>
  <si>
    <t xml:space="preserve">2.5 a 2 </t>
  </si>
  <si>
    <r>
      <t xml:space="preserve">FRIES: 3-inch 4-band ortho imagery </t>
    </r>
    <r>
      <rPr>
        <b/>
        <sz val="12"/>
        <color rgb="FF000000"/>
        <rFont val="Calibri"/>
        <family val="2"/>
        <scheme val="minor"/>
      </rPr>
      <t xml:space="preserve">and </t>
    </r>
    <r>
      <rPr>
        <sz val="12"/>
        <color rgb="FF000000"/>
        <rFont val="Calibri"/>
        <family val="2"/>
        <scheme val="minor"/>
      </rPr>
      <t xml:space="preserve">infusion of imagery-derived RGBI values into Lidar point cloud. 60% OVERLAP  </t>
    </r>
  </si>
  <si>
    <t xml:space="preserve">2.5 a 3 </t>
  </si>
  <si>
    <t xml:space="preserve">ORTHO ONLY: 3-inch 4-band ortho imagery ONLY.  30% OVERLAP </t>
  </si>
  <si>
    <t xml:space="preserve">2.5 a 4 </t>
  </si>
  <si>
    <t xml:space="preserve">ORTHO ONLY: 3-inch 4-band ortho imagery ONLY. 60% OVERLAP  </t>
  </si>
  <si>
    <t xml:space="preserve">2.5 a 5 </t>
  </si>
  <si>
    <t xml:space="preserve">3-inch 4-band ortho imagery (with or without Lidar) @ static corridor width </t>
  </si>
  <si>
    <t xml:space="preserve">3,500 feet </t>
  </si>
  <si>
    <t xml:space="preserve">2.5 a 6 </t>
  </si>
  <si>
    <t xml:space="preserve">3-inch 4-band ortho imagery (with or without Lidar) @ variable corridor width </t>
  </si>
  <si>
    <t xml:space="preserve">Determined per Purchase Order </t>
  </si>
  <si>
    <t xml:space="preserve">variable </t>
  </si>
  <si>
    <r>
      <t xml:space="preserve">FRIES: 6-inch 4-band ortho imagery </t>
    </r>
    <r>
      <rPr>
        <b/>
        <sz val="12"/>
        <color rgb="FF000000"/>
        <rFont val="Calibri"/>
        <family val="2"/>
        <scheme val="minor"/>
      </rPr>
      <t>and</t>
    </r>
    <r>
      <rPr>
        <sz val="12"/>
        <color rgb="FF000000"/>
        <rFont val="Calibri"/>
        <family val="2"/>
        <scheme val="minor"/>
      </rPr>
      <t xml:space="preserve"> infusion of imagery-derived RGBI values into Lidar point cloud. 30% OVERLAP </t>
    </r>
  </si>
  <si>
    <t xml:space="preserve">5,000 feet </t>
  </si>
  <si>
    <t xml:space="preserve">2.5 b </t>
  </si>
  <si>
    <t xml:space="preserve">Collection of higher resolution Lidar data (&gt;= 15 ppsm) </t>
  </si>
  <si>
    <t xml:space="preserve">600 feet </t>
  </si>
  <si>
    <t xml:space="preserve">2.5 c </t>
  </si>
  <si>
    <t xml:space="preserve">Hydro-flattened Bare-Earth DEM </t>
  </si>
  <si>
    <t xml:space="preserve">2.5 d </t>
  </si>
  <si>
    <t xml:space="preserve">Hydro-enforced Bare Earth DEM </t>
  </si>
  <si>
    <t xml:space="preserve">2.5 e </t>
  </si>
  <si>
    <t xml:space="preserve">Corridor LiDAR Acquisition (variable &amp; customized resolution) </t>
  </si>
  <si>
    <t xml:space="preserve">2.5 f </t>
  </si>
  <si>
    <t xml:space="preserve">Bathymetric Lidar </t>
  </si>
  <si>
    <t xml:space="preserve">2.5 g </t>
  </si>
  <si>
    <t xml:space="preserve">Forward Looking HD Video  </t>
  </si>
  <si>
    <t xml:space="preserve">200 ft - 400ft </t>
  </si>
  <si>
    <t xml:space="preserve">2.5 h </t>
  </si>
  <si>
    <t xml:space="preserve">Thermal Infrared Imagery </t>
  </si>
  <si>
    <t xml:space="preserve">2.5 i </t>
  </si>
  <si>
    <t xml:space="preserve">Hyperspectral Imagery </t>
  </si>
  <si>
    <t xml:space="preserve">2.5 j* </t>
  </si>
  <si>
    <r>
      <t>"</t>
    </r>
    <r>
      <rPr>
        <b/>
        <sz val="12"/>
        <color rgb="FF000000"/>
        <rFont val="Calibri"/>
        <family val="2"/>
        <scheme val="minor"/>
      </rPr>
      <t>Full classification</t>
    </r>
    <r>
      <rPr>
        <sz val="12"/>
        <color rgb="FF000000"/>
        <rFont val="Calibri"/>
        <family val="2"/>
        <scheme val="minor"/>
      </rPr>
      <t xml:space="preserve">" of Lidar point cloud.   </t>
    </r>
  </si>
  <si>
    <t xml:space="preserve">Urban </t>
  </si>
  <si>
    <t xml:space="preserve">100 ft - 300 ft </t>
  </si>
  <si>
    <t xml:space="preserve">Rural </t>
  </si>
  <si>
    <t xml:space="preserve">Forested </t>
  </si>
  <si>
    <r>
      <t>"</t>
    </r>
    <r>
      <rPr>
        <b/>
        <sz val="12"/>
        <color rgb="FF000000"/>
        <rFont val="Calibri"/>
        <family val="2"/>
        <scheme val="minor"/>
      </rPr>
      <t>Further Classification</t>
    </r>
    <r>
      <rPr>
        <sz val="12"/>
        <color rgb="FF000000"/>
        <rFont val="Calibri"/>
        <family val="2"/>
        <scheme val="minor"/>
      </rPr>
      <t xml:space="preserve">" of Lidar point cloud.  </t>
    </r>
  </si>
  <si>
    <t xml:space="preserve">2.5 k </t>
  </si>
  <si>
    <t xml:space="preserve">Supplemental vertical accuracy assessment (Land Cover RTK) </t>
  </si>
  <si>
    <r>
      <t>Price Table</t>
    </r>
    <r>
      <rPr>
        <sz val="12"/>
        <color rgb="FF000000"/>
        <rFont val="Calibri"/>
        <family val="2"/>
        <scheme val="minor"/>
      </rPr>
      <t xml:space="preserve"> </t>
    </r>
  </si>
  <si>
    <r>
      <t>Contract Section</t>
    </r>
    <r>
      <rPr>
        <sz val="12"/>
        <color rgb="FF000000"/>
        <rFont val="Times New Roman"/>
        <family val="1"/>
      </rPr>
      <t xml:space="preserve"> </t>
    </r>
  </si>
  <si>
    <r>
      <t xml:space="preserve">Optional Services </t>
    </r>
    <r>
      <rPr>
        <sz val="12"/>
        <color rgb="FF000000"/>
        <rFont val="Calibri"/>
        <family val="2"/>
        <scheme val="minor"/>
      </rPr>
      <t xml:space="preserve"> </t>
    </r>
  </si>
  <si>
    <r>
      <t>Wide-Area $ per Sq Mi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</si>
  <si>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Corridor $ per Mile </t>
    </r>
    <r>
      <rPr>
        <sz val="12"/>
        <color rgb="FF000000"/>
        <rFont val="Calibri"/>
        <family val="2"/>
        <scheme val="minor"/>
      </rPr>
      <t xml:space="preserve"> </t>
    </r>
  </si>
  <si>
    <r>
      <t>Size Brackets (Sq Mi)</t>
    </r>
    <r>
      <rPr>
        <sz val="12"/>
        <color rgb="FF000000"/>
        <rFont val="Calibri"/>
        <family val="2"/>
        <scheme val="minor"/>
      </rPr>
      <t xml:space="preserve"> </t>
    </r>
  </si>
  <si>
    <r>
      <t>Minimum PO Sq Mi Required</t>
    </r>
    <r>
      <rPr>
        <sz val="12"/>
        <color rgb="FF000000"/>
        <rFont val="Calibri"/>
        <family val="2"/>
        <scheme val="minor"/>
      </rPr>
      <t xml:space="preserve"> </t>
    </r>
  </si>
  <si>
    <r>
      <t>Size Brackets (Miles)</t>
    </r>
    <r>
      <rPr>
        <sz val="12"/>
        <color rgb="FF000000"/>
        <rFont val="Calibri"/>
        <family val="2"/>
        <scheme val="minor"/>
      </rPr>
      <t xml:space="preserve"> </t>
    </r>
  </si>
  <si>
    <r>
      <t>Corridor Width</t>
    </r>
    <r>
      <rPr>
        <sz val="12"/>
        <color rgb="FF000000"/>
        <rFont val="Calibri"/>
        <family val="2"/>
        <scheme val="minor"/>
      </rPr>
      <t xml:space="preserve"> </t>
    </r>
  </si>
  <si>
    <r>
      <t>Minimum PO Miles Required</t>
    </r>
    <r>
      <rPr>
        <sz val="12"/>
        <color rgb="FF000000"/>
        <rFont val="Calibri"/>
        <family val="2"/>
        <scheme val="minor"/>
      </rPr>
      <t xml:space="preserve"> </t>
    </r>
  </si>
  <si>
    <r>
      <t>40-100</t>
    </r>
    <r>
      <rPr>
        <sz val="12"/>
        <color rgb="FF000000"/>
        <rFont val="Calibri"/>
        <family val="2"/>
        <scheme val="minor"/>
      </rPr>
      <t xml:space="preserve"> </t>
    </r>
  </si>
  <si>
    <r>
      <t>100-150</t>
    </r>
    <r>
      <rPr>
        <sz val="12"/>
        <color rgb="FF000000"/>
        <rFont val="Calibri"/>
        <family val="2"/>
        <scheme val="minor"/>
      </rPr>
      <t xml:space="preserve"> </t>
    </r>
  </si>
  <si>
    <r>
      <t>150-200</t>
    </r>
    <r>
      <rPr>
        <sz val="12"/>
        <color rgb="FF000000"/>
        <rFont val="Calibri"/>
        <family val="2"/>
        <scheme val="minor"/>
      </rPr>
      <t xml:space="preserve"> </t>
    </r>
  </si>
  <si>
    <r>
      <t>200-250</t>
    </r>
    <r>
      <rPr>
        <sz val="12"/>
        <color rgb="FF000000"/>
        <rFont val="Calibri"/>
        <family val="2"/>
        <scheme val="minor"/>
      </rPr>
      <t xml:space="preserve"> </t>
    </r>
  </si>
  <si>
    <r>
      <t>250+</t>
    </r>
    <r>
      <rPr>
        <sz val="12"/>
        <color rgb="FF000000"/>
        <rFont val="Calibri"/>
        <family val="2"/>
        <scheme val="minor"/>
      </rPr>
      <t xml:space="preserve"> </t>
    </r>
  </si>
  <si>
    <r>
      <t>20-100</t>
    </r>
    <r>
      <rPr>
        <sz val="12"/>
        <color rgb="FF000000"/>
        <rFont val="Calibri"/>
        <family val="2"/>
        <scheme val="minor"/>
      </rPr>
      <t xml:space="preserve"> </t>
    </r>
  </si>
  <si>
    <r>
      <t>100-500</t>
    </r>
    <r>
      <rPr>
        <sz val="12"/>
        <color rgb="FF000000"/>
        <rFont val="Calibri"/>
        <family val="2"/>
        <scheme val="minor"/>
      </rPr>
      <t xml:space="preserve"> </t>
    </r>
  </si>
  <si>
    <r>
      <t>500+</t>
    </r>
    <r>
      <rPr>
        <sz val="12"/>
        <color rgb="FF000000"/>
        <rFont val="Calibri"/>
        <family val="2"/>
        <scheme val="minor"/>
      </rPr>
      <t xml:space="preserve"> </t>
    </r>
  </si>
  <si>
    <t xml:space="preserve">Image Compression Rate </t>
  </si>
  <si>
    <t>Collection of Volcanoes and Conical Peaks</t>
  </si>
  <si>
    <t xml:space="preserve">3DEP Data Deliverables: </t>
  </si>
  <si>
    <t>Single per sqaure mile price for 3DEP deliverables excluding hydroflattening</t>
  </si>
  <si>
    <t>Determined per Purchase Order :  $1,000 + ($4.50 * Waterbody acres)</t>
  </si>
  <si>
    <t>2.5 m</t>
  </si>
  <si>
    <t>2.5 n</t>
  </si>
  <si>
    <t>2.5 0</t>
  </si>
  <si>
    <t>Lidar Survey 4 pulse per square meter &amp; Related Products</t>
  </si>
  <si>
    <t>2.5 p</t>
  </si>
  <si>
    <t>2.5 L</t>
  </si>
  <si>
    <t>Geoger Mode lidar Collection ( advanced Sensor collection)</t>
  </si>
  <si>
    <t xml:space="preserve">750 ²  meter project tilling scheme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</si>
</sst>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_);_(&quot;$&quot;* \(#,##0\);_(&quot;$&quot;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5BE97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ont="1"/>
    <xf numFmtId="0" fontId="2" fillId="3" borderId="1" xfId="0" applyFont="1" applyFill="1" applyBorder="1" applyAlignment="1">
      <alignment horizontal="left" vertical="center" wrapText="1" readingOrder="1"/>
    </xf>
    <xf numFmtId="164" fontId="2" fillId="3" borderId="1" xfId="0" applyNumberFormat="1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164" fontId="2" fillId="3" borderId="5" xfId="0" applyNumberFormat="1" applyFont="1" applyFill="1" applyBorder="1" applyAlignment="1">
      <alignment horizontal="center" vertical="center" wrapText="1" readingOrder="1"/>
    </xf>
    <xf numFmtId="164" fontId="2" fillId="3" borderId="29" xfId="0" applyNumberFormat="1" applyFont="1" applyFill="1" applyBorder="1" applyAlignment="1">
      <alignment horizontal="center" vertical="center" wrapText="1" readingOrder="1"/>
    </xf>
    <xf numFmtId="0" fontId="4" fillId="6" borderId="28" xfId="0" applyFont="1" applyFill="1" applyBorder="1"/>
    <xf numFmtId="165" fontId="4" fillId="6" borderId="28" xfId="0" applyNumberFormat="1" applyFont="1" applyFill="1" applyBorder="1"/>
    <xf numFmtId="165" fontId="4" fillId="6" borderId="30" xfId="0" applyNumberFormat="1" applyFont="1" applyFill="1" applyBorder="1"/>
    <xf numFmtId="0" fontId="4" fillId="6" borderId="3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 readingOrder="1"/>
    </xf>
    <xf numFmtId="0" fontId="4" fillId="6" borderId="27" xfId="0" applyFont="1" applyFill="1" applyBorder="1"/>
    <xf numFmtId="165" fontId="4" fillId="6" borderId="15" xfId="0" applyNumberFormat="1" applyFont="1" applyFill="1" applyBorder="1"/>
    <xf numFmtId="165" fontId="4" fillId="6" borderId="26" xfId="0" applyNumberFormat="1" applyFont="1" applyFill="1" applyBorder="1"/>
    <xf numFmtId="165" fontId="4" fillId="6" borderId="27" xfId="0" applyNumberFormat="1" applyFont="1" applyFill="1" applyBorder="1"/>
    <xf numFmtId="0" fontId="4" fillId="6" borderId="28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left"/>
    </xf>
    <xf numFmtId="0" fontId="4" fillId="6" borderId="36" xfId="0" applyFont="1" applyFill="1" applyBorder="1" applyAlignment="1">
      <alignment horizontal="left"/>
    </xf>
    <xf numFmtId="0" fontId="4" fillId="6" borderId="0" xfId="0" applyFont="1" applyFill="1"/>
    <xf numFmtId="0" fontId="4" fillId="6" borderId="17" xfId="0" applyFont="1" applyFill="1" applyBorder="1" applyAlignment="1">
      <alignment wrapText="1"/>
    </xf>
    <xf numFmtId="0" fontId="4" fillId="6" borderId="18" xfId="0" applyFont="1" applyFill="1" applyBorder="1" applyAlignment="1">
      <alignment wrapText="1"/>
    </xf>
    <xf numFmtId="0" fontId="4" fillId="6" borderId="19" xfId="0" applyFont="1" applyFill="1" applyBorder="1"/>
    <xf numFmtId="0" fontId="4" fillId="6" borderId="25" xfId="0" applyFont="1" applyFill="1" applyBorder="1" applyAlignment="1">
      <alignment horizontal="center" vertical="top" wrapText="1"/>
    </xf>
    <xf numFmtId="165" fontId="4" fillId="6" borderId="32" xfId="0" applyNumberFormat="1" applyFont="1" applyFill="1" applyBorder="1" applyAlignment="1">
      <alignment horizontal="right"/>
    </xf>
    <xf numFmtId="165" fontId="4" fillId="6" borderId="33" xfId="0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horizontal="center" vertical="center" wrapText="1" readingOrder="1"/>
    </xf>
    <xf numFmtId="0" fontId="2" fillId="6" borderId="4" xfId="0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 vertical="center" wrapText="1" readingOrder="1"/>
    </xf>
    <xf numFmtId="0" fontId="2" fillId="6" borderId="21" xfId="0" applyFont="1" applyFill="1" applyBorder="1" applyAlignment="1">
      <alignment horizontal="center" vertical="center" wrapText="1" readingOrder="1"/>
    </xf>
    <xf numFmtId="0" fontId="2" fillId="6" borderId="22" xfId="0" applyFont="1" applyFill="1" applyBorder="1" applyAlignment="1">
      <alignment horizontal="center" vertical="center" wrapText="1" readingOrder="1"/>
    </xf>
    <xf numFmtId="0" fontId="2" fillId="6" borderId="14" xfId="0" applyFont="1" applyFill="1" applyBorder="1" applyAlignment="1">
      <alignment horizontal="center" vertical="center" wrapText="1" readingOrder="1"/>
    </xf>
    <xf numFmtId="0" fontId="2" fillId="6" borderId="23" xfId="0" applyFont="1" applyFill="1" applyBorder="1" applyAlignment="1">
      <alignment horizontal="center" vertical="center" wrapText="1" readingOrder="1"/>
    </xf>
    <xf numFmtId="0" fontId="2" fillId="6" borderId="24" xfId="0" applyFont="1" applyFill="1" applyBorder="1" applyAlignment="1">
      <alignment horizontal="center" vertical="center" wrapText="1" readingOrder="1"/>
    </xf>
    <xf numFmtId="0" fontId="0" fillId="6" borderId="26" xfId="0" applyFont="1" applyFill="1" applyBorder="1" applyAlignment="1">
      <alignment horizontal="center"/>
    </xf>
    <xf numFmtId="0" fontId="0" fillId="6" borderId="36" xfId="0" applyFont="1" applyFill="1" applyBorder="1" applyAlignment="1">
      <alignment horizontal="center"/>
    </xf>
    <xf numFmtId="165" fontId="4" fillId="6" borderId="28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165" fontId="4" fillId="6" borderId="31" xfId="0" applyNumberFormat="1" applyFont="1" applyFill="1" applyBorder="1" applyAlignment="1">
      <alignment horizontal="right"/>
    </xf>
    <xf numFmtId="0" fontId="4" fillId="6" borderId="37" xfId="0" applyFont="1" applyFill="1" applyBorder="1" applyAlignment="1">
      <alignment horizontal="left"/>
    </xf>
    <xf numFmtId="0" fontId="4" fillId="6" borderId="36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164" fontId="2" fillId="3" borderId="8" xfId="0" applyNumberFormat="1" applyFont="1" applyFill="1" applyBorder="1" applyAlignment="1">
      <alignment horizontal="center" vertical="center" wrapText="1" readingOrder="1"/>
    </xf>
    <xf numFmtId="164" fontId="2" fillId="3" borderId="9" xfId="0" applyNumberFormat="1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1"/>
    </xf>
    <xf numFmtId="0" fontId="2" fillId="5" borderId="3" xfId="0" applyFont="1" applyFill="1" applyBorder="1" applyAlignment="1">
      <alignment horizontal="center" vertical="center" wrapText="1" readingOrder="1"/>
    </xf>
    <xf numFmtId="0" fontId="2" fillId="5" borderId="4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0" fontId="2" fillId="3" borderId="7" xfId="0" applyFont="1" applyFill="1" applyBorder="1" applyAlignment="1">
      <alignment horizontal="center" vertical="center" wrapText="1" readingOrder="1"/>
    </xf>
    <xf numFmtId="164" fontId="2" fillId="3" borderId="2" xfId="0" applyNumberFormat="1" applyFont="1" applyFill="1" applyBorder="1" applyAlignment="1">
      <alignment horizontal="center" vertical="center" wrapText="1" readingOrder="1"/>
    </xf>
    <xf numFmtId="164" fontId="2" fillId="3" borderId="3" xfId="0" applyNumberFormat="1" applyFont="1" applyFill="1" applyBorder="1" applyAlignment="1">
      <alignment horizontal="center" vertical="center" wrapText="1" readingOrder="1"/>
    </xf>
    <xf numFmtId="164" fontId="2" fillId="3" borderId="4" xfId="0" applyNumberFormat="1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left" vertical="center" wrapText="1" readingOrder="1"/>
    </xf>
    <xf numFmtId="0" fontId="2" fillId="3" borderId="6" xfId="0" applyFont="1" applyFill="1" applyBorder="1" applyAlignment="1">
      <alignment horizontal="left" vertical="center" wrapText="1" readingOrder="1"/>
    </xf>
    <xf numFmtId="0" fontId="2" fillId="3" borderId="7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left" vertical="center" wrapText="1" readingOrder="1"/>
    </xf>
    <xf numFmtId="0" fontId="2" fillId="5" borderId="35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 readingOrder="1"/>
    </xf>
    <xf numFmtId="0" fontId="1" fillId="2" borderId="10" xfId="0" applyFont="1" applyFill="1" applyBorder="1" applyAlignment="1">
      <alignment horizontal="center" vertical="center" wrapText="1" readingOrder="1"/>
    </xf>
    <xf numFmtId="0" fontId="1" fillId="2" borderId="11" xfId="0" applyFont="1" applyFill="1" applyBorder="1" applyAlignment="1">
      <alignment horizontal="center" vertical="center" wrapText="1" readingOrder="1"/>
    </xf>
    <xf numFmtId="0" fontId="1" fillId="2" borderId="12" xfId="0" applyFont="1" applyFill="1" applyBorder="1" applyAlignment="1">
      <alignment horizontal="center" vertical="center" wrapText="1" readingOrder="1"/>
    </xf>
    <xf numFmtId="0" fontId="1" fillId="2" borderId="1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tabSelected="1" topLeftCell="A16" workbookViewId="0">
      <selection activeCell="G31" sqref="G31:G32"/>
    </sheetView>
  </sheetViews>
  <sheetFormatPr defaultRowHeight="15" x14ac:dyDescent="0.25"/>
  <cols>
    <col min="1" max="1" width="17.5703125" bestFit="1" customWidth="1"/>
    <col min="2" max="2" width="52" customWidth="1"/>
    <col min="3" max="3" width="14.140625" customWidth="1"/>
    <col min="4" max="4" width="8.42578125" bestFit="1" customWidth="1"/>
    <col min="5" max="6" width="9.5703125" bestFit="1" customWidth="1"/>
    <col min="7" max="7" width="11.28515625" bestFit="1" customWidth="1"/>
    <col min="8" max="8" width="6.5703125" customWidth="1"/>
    <col min="10" max="10" width="3.28515625" bestFit="1" customWidth="1"/>
    <col min="11" max="11" width="9.5703125" bestFit="1" customWidth="1"/>
    <col min="12" max="12" width="6.7109375" bestFit="1" customWidth="1"/>
    <col min="13" max="13" width="9.5703125" bestFit="1" customWidth="1"/>
    <col min="14" max="14" width="16" bestFit="1" customWidth="1"/>
    <col min="15" max="15" width="29.7109375" bestFit="1" customWidth="1"/>
  </cols>
  <sheetData>
    <row r="1" spans="1:25" ht="16.5" thickBot="1" x14ac:dyDescent="0.3">
      <c r="A1" s="76" t="s">
        <v>48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6.5" thickBot="1" x14ac:dyDescent="0.3">
      <c r="A2" s="79" t="s">
        <v>49</v>
      </c>
      <c r="B2" s="82" t="s">
        <v>50</v>
      </c>
      <c r="C2" s="83"/>
      <c r="D2" s="76" t="s">
        <v>51</v>
      </c>
      <c r="E2" s="77"/>
      <c r="F2" s="77"/>
      <c r="G2" s="77"/>
      <c r="H2" s="77"/>
      <c r="I2" s="77"/>
      <c r="J2" s="78"/>
      <c r="K2" s="76" t="s">
        <v>52</v>
      </c>
      <c r="L2" s="77"/>
      <c r="M2" s="77"/>
      <c r="N2" s="77"/>
      <c r="O2" s="78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6.5" thickBot="1" x14ac:dyDescent="0.3">
      <c r="A3" s="80"/>
      <c r="B3" s="84"/>
      <c r="C3" s="85"/>
      <c r="D3" s="76" t="s">
        <v>53</v>
      </c>
      <c r="E3" s="77"/>
      <c r="F3" s="77"/>
      <c r="G3" s="77"/>
      <c r="H3" s="78"/>
      <c r="I3" s="82" t="s">
        <v>54</v>
      </c>
      <c r="J3" s="83"/>
      <c r="K3" s="76" t="s">
        <v>55</v>
      </c>
      <c r="L3" s="77"/>
      <c r="M3" s="78"/>
      <c r="N3" s="79" t="s">
        <v>56</v>
      </c>
      <c r="O3" s="79" t="s">
        <v>57</v>
      </c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32.25" thickBot="1" x14ac:dyDescent="0.3">
      <c r="A4" s="81"/>
      <c r="B4" s="86"/>
      <c r="C4" s="87"/>
      <c r="D4" s="7" t="s">
        <v>58</v>
      </c>
      <c r="E4" s="7" t="s">
        <v>59</v>
      </c>
      <c r="F4" s="7" t="s">
        <v>60</v>
      </c>
      <c r="G4" s="7" t="s">
        <v>61</v>
      </c>
      <c r="H4" s="7" t="s">
        <v>62</v>
      </c>
      <c r="I4" s="86"/>
      <c r="J4" s="87"/>
      <c r="K4" s="7" t="s">
        <v>63</v>
      </c>
      <c r="L4" s="7" t="s">
        <v>64</v>
      </c>
      <c r="M4" s="7" t="s">
        <v>65</v>
      </c>
      <c r="N4" s="81"/>
      <c r="O4" s="81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6.5" thickBot="1" x14ac:dyDescent="0.3">
      <c r="A5" s="2" t="s">
        <v>0</v>
      </c>
      <c r="B5" s="69" t="s">
        <v>1</v>
      </c>
      <c r="C5" s="70"/>
      <c r="D5" s="3">
        <f>705*1.15</f>
        <v>810.74999999999989</v>
      </c>
      <c r="E5" s="3">
        <f>562*1.15</f>
        <v>646.29999999999995</v>
      </c>
      <c r="F5" s="3">
        <f>455*1.15</f>
        <v>523.25</v>
      </c>
      <c r="G5" s="3">
        <f>410*1.15</f>
        <v>471.49999999999994</v>
      </c>
      <c r="H5" s="3">
        <f>390*1.15</f>
        <v>448.49999999999994</v>
      </c>
      <c r="I5" s="67">
        <v>40</v>
      </c>
      <c r="J5" s="68"/>
      <c r="K5" s="3">
        <f>538*1.15</f>
        <v>618.69999999999993</v>
      </c>
      <c r="L5" s="3">
        <f>470*1.15</f>
        <v>540.5</v>
      </c>
      <c r="M5" s="3">
        <f>343*1.15</f>
        <v>394.45</v>
      </c>
      <c r="N5" s="4" t="s">
        <v>2</v>
      </c>
      <c r="O5" s="4">
        <v>20</v>
      </c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35.25" customHeight="1" thickBot="1" x14ac:dyDescent="0.3">
      <c r="A6" s="2" t="s">
        <v>3</v>
      </c>
      <c r="B6" s="69" t="s">
        <v>4</v>
      </c>
      <c r="C6" s="70"/>
      <c r="D6" s="3">
        <f>364*1.15</f>
        <v>418.59999999999997</v>
      </c>
      <c r="E6" s="3">
        <f>241*1.15</f>
        <v>277.14999999999998</v>
      </c>
      <c r="F6" s="3">
        <f>205*1.15</f>
        <v>235.74999999999997</v>
      </c>
      <c r="G6" s="3">
        <f>183*1.15</f>
        <v>210.45</v>
      </c>
      <c r="H6" s="3">
        <f>150*1.15</f>
        <v>172.5</v>
      </c>
      <c r="I6" s="67">
        <v>40</v>
      </c>
      <c r="J6" s="68"/>
      <c r="K6" s="71" t="s">
        <v>5</v>
      </c>
      <c r="L6" s="72"/>
      <c r="M6" s="72"/>
      <c r="N6" s="72"/>
      <c r="O6" s="73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8.25" customHeight="1" thickBot="1" x14ac:dyDescent="0.3">
      <c r="A7" s="2" t="s">
        <v>6</v>
      </c>
      <c r="B7" s="69" t="s">
        <v>7</v>
      </c>
      <c r="C7" s="70"/>
      <c r="D7" s="3">
        <f>583*1.15</f>
        <v>670.44999999999993</v>
      </c>
      <c r="E7" s="3">
        <f>478*1.15</f>
        <v>549.69999999999993</v>
      </c>
      <c r="F7" s="3">
        <f>426*1.15</f>
        <v>489.9</v>
      </c>
      <c r="G7" s="3">
        <f>400*1.15</f>
        <v>459.99999999999994</v>
      </c>
      <c r="H7" s="3">
        <f>389*1.15</f>
        <v>447.34999999999997</v>
      </c>
      <c r="I7" s="67">
        <v>40</v>
      </c>
      <c r="J7" s="68"/>
      <c r="K7" s="71" t="s">
        <v>5</v>
      </c>
      <c r="L7" s="72"/>
      <c r="M7" s="72"/>
      <c r="N7" s="72"/>
      <c r="O7" s="73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42" customHeight="1" thickBot="1" x14ac:dyDescent="0.3">
      <c r="A8" s="2" t="s">
        <v>8</v>
      </c>
      <c r="B8" s="69" t="s">
        <v>9</v>
      </c>
      <c r="C8" s="70"/>
      <c r="D8" s="3">
        <f>433*1.15</f>
        <v>497.95</v>
      </c>
      <c r="E8" s="3">
        <f>345*1.15</f>
        <v>396.74999999999994</v>
      </c>
      <c r="F8" s="3">
        <f>298*1.15</f>
        <v>342.7</v>
      </c>
      <c r="G8" s="3">
        <f>272*1.15</f>
        <v>312.79999999999995</v>
      </c>
      <c r="H8" s="3">
        <f>261*1.15</f>
        <v>300.14999999999998</v>
      </c>
      <c r="I8" s="67">
        <v>40</v>
      </c>
      <c r="J8" s="68"/>
      <c r="K8" s="71" t="s">
        <v>5</v>
      </c>
      <c r="L8" s="72"/>
      <c r="M8" s="72"/>
      <c r="N8" s="72"/>
      <c r="O8" s="73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30" customHeight="1" thickBot="1" x14ac:dyDescent="0.3">
      <c r="A9" s="2" t="s">
        <v>10</v>
      </c>
      <c r="B9" s="69" t="s">
        <v>11</v>
      </c>
      <c r="C9" s="70"/>
      <c r="D9" s="3">
        <f>631*1.15</f>
        <v>725.65</v>
      </c>
      <c r="E9" s="3">
        <f>508*1.15</f>
        <v>584.19999999999993</v>
      </c>
      <c r="F9" s="3">
        <f>443*1.15</f>
        <v>509.45</v>
      </c>
      <c r="G9" s="3">
        <f>408*1.15</f>
        <v>469.2</v>
      </c>
      <c r="H9" s="3">
        <f>399*1.15</f>
        <v>458.84999999999997</v>
      </c>
      <c r="I9" s="67">
        <v>40</v>
      </c>
      <c r="J9" s="68"/>
      <c r="K9" s="71" t="s">
        <v>5</v>
      </c>
      <c r="L9" s="72"/>
      <c r="M9" s="72"/>
      <c r="N9" s="72"/>
      <c r="O9" s="73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31.5" customHeight="1" thickBot="1" x14ac:dyDescent="0.3">
      <c r="A10" s="2" t="s">
        <v>12</v>
      </c>
      <c r="B10" s="69" t="s">
        <v>13</v>
      </c>
      <c r="C10" s="70"/>
      <c r="D10" s="71" t="s">
        <v>5</v>
      </c>
      <c r="E10" s="72"/>
      <c r="F10" s="72"/>
      <c r="G10" s="72"/>
      <c r="H10" s="72"/>
      <c r="I10" s="72"/>
      <c r="J10" s="73"/>
      <c r="K10" s="3">
        <f>216*1.15</f>
        <v>248.39999999999998</v>
      </c>
      <c r="L10" s="3">
        <f>190*1.15</f>
        <v>218.49999999999997</v>
      </c>
      <c r="M10" s="3">
        <f>142*1.15</f>
        <v>163.29999999999998</v>
      </c>
      <c r="N10" s="4" t="s">
        <v>14</v>
      </c>
      <c r="O10" s="4">
        <v>20</v>
      </c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9" customHeight="1" thickBot="1" x14ac:dyDescent="0.3">
      <c r="A11" s="2" t="s">
        <v>15</v>
      </c>
      <c r="B11" s="69" t="s">
        <v>16</v>
      </c>
      <c r="C11" s="70"/>
      <c r="D11" s="71" t="s">
        <v>5</v>
      </c>
      <c r="E11" s="72"/>
      <c r="F11" s="72"/>
      <c r="G11" s="72"/>
      <c r="H11" s="72"/>
      <c r="I11" s="72"/>
      <c r="J11" s="73"/>
      <c r="K11" s="55" t="s">
        <v>17</v>
      </c>
      <c r="L11" s="56"/>
      <c r="M11" s="57"/>
      <c r="N11" s="5" t="s">
        <v>18</v>
      </c>
      <c r="O11" s="5" t="s">
        <v>5</v>
      </c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34.5" customHeight="1" thickBot="1" x14ac:dyDescent="0.3">
      <c r="A12" s="4" t="s">
        <v>5</v>
      </c>
      <c r="B12" s="69" t="s">
        <v>19</v>
      </c>
      <c r="C12" s="70"/>
      <c r="D12" s="3">
        <f>179*1.15</f>
        <v>205.85</v>
      </c>
      <c r="E12" s="3">
        <f>142*1.15</f>
        <v>163.29999999999998</v>
      </c>
      <c r="F12" s="3">
        <f>121*1.15</f>
        <v>139.14999999999998</v>
      </c>
      <c r="G12" s="3">
        <f>108*1.15</f>
        <v>124.19999999999999</v>
      </c>
      <c r="H12" s="3">
        <f>100*1.15</f>
        <v>114.99999999999999</v>
      </c>
      <c r="I12" s="67">
        <v>40</v>
      </c>
      <c r="J12" s="68"/>
      <c r="K12" s="3">
        <f>201*1.15</f>
        <v>231.14999999999998</v>
      </c>
      <c r="L12" s="3">
        <f>177*1.15</f>
        <v>203.54999999999998</v>
      </c>
      <c r="M12" s="3">
        <f>132*1.15</f>
        <v>151.79999999999998</v>
      </c>
      <c r="N12" s="4" t="s">
        <v>20</v>
      </c>
      <c r="O12" s="4">
        <v>20</v>
      </c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39.75" customHeight="1" thickBot="1" x14ac:dyDescent="0.3">
      <c r="A13" s="2" t="s">
        <v>21</v>
      </c>
      <c r="B13" s="69" t="s">
        <v>22</v>
      </c>
      <c r="C13" s="70"/>
      <c r="D13" s="3">
        <f>1207*1.15</f>
        <v>1388.05</v>
      </c>
      <c r="E13" s="3">
        <f>962*1.15</f>
        <v>1106.3</v>
      </c>
      <c r="F13" s="3">
        <f>832*1.15</f>
        <v>956.8</v>
      </c>
      <c r="G13" s="3">
        <f>758*1.15</f>
        <v>871.69999999999993</v>
      </c>
      <c r="H13" s="3">
        <f>719*1.15</f>
        <v>826.84999999999991</v>
      </c>
      <c r="I13" s="67">
        <v>40</v>
      </c>
      <c r="J13" s="68"/>
      <c r="K13" s="3">
        <f>538*1.15</f>
        <v>618.69999999999993</v>
      </c>
      <c r="L13" s="3">
        <f>470*1.15</f>
        <v>540.5</v>
      </c>
      <c r="M13" s="3">
        <f>343*1.15</f>
        <v>394.45</v>
      </c>
      <c r="N13" s="4" t="s">
        <v>23</v>
      </c>
      <c r="O13" s="4">
        <v>20</v>
      </c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57" customHeight="1" thickBot="1" x14ac:dyDescent="0.3">
      <c r="A14" s="2" t="s">
        <v>24</v>
      </c>
      <c r="B14" s="69" t="s">
        <v>25</v>
      </c>
      <c r="C14" s="70"/>
      <c r="D14" s="3">
        <f>135*1.15</f>
        <v>155.25</v>
      </c>
      <c r="E14" s="3">
        <f>90*1.15</f>
        <v>103.49999999999999</v>
      </c>
      <c r="F14" s="3">
        <f>65*1.15</f>
        <v>74.75</v>
      </c>
      <c r="G14" s="3">
        <f>49*1.15</f>
        <v>56.349999999999994</v>
      </c>
      <c r="H14" s="3">
        <f>27*1.15</f>
        <v>31.049999999999997</v>
      </c>
      <c r="I14" s="67">
        <v>40</v>
      </c>
      <c r="J14" s="68"/>
      <c r="K14" s="55" t="s">
        <v>17</v>
      </c>
      <c r="L14" s="56"/>
      <c r="M14" s="57"/>
      <c r="N14" s="5" t="s">
        <v>18</v>
      </c>
      <c r="O14" s="5" t="s">
        <v>5</v>
      </c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48.75" customHeight="1" thickBot="1" x14ac:dyDescent="0.3">
      <c r="A15" s="2" t="s">
        <v>26</v>
      </c>
      <c r="B15" s="69" t="s">
        <v>27</v>
      </c>
      <c r="C15" s="70"/>
      <c r="D15" s="3">
        <f>67*1.15</f>
        <v>77.05</v>
      </c>
      <c r="E15" s="3">
        <f>50*1.15</f>
        <v>57.499999999999993</v>
      </c>
      <c r="F15" s="3">
        <f>39*1.15</f>
        <v>44.849999999999994</v>
      </c>
      <c r="G15" s="3">
        <f>33*1.15</f>
        <v>37.949999999999996</v>
      </c>
      <c r="H15" s="3">
        <f>29*1.15</f>
        <v>33.349999999999994</v>
      </c>
      <c r="I15" s="67">
        <v>40</v>
      </c>
      <c r="J15" s="68"/>
      <c r="K15" s="55" t="s">
        <v>17</v>
      </c>
      <c r="L15" s="56"/>
      <c r="M15" s="57"/>
      <c r="N15" s="5" t="s">
        <v>18</v>
      </c>
      <c r="O15" s="5" t="s">
        <v>5</v>
      </c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34.5" customHeight="1" thickBot="1" x14ac:dyDescent="0.3">
      <c r="A16" s="2" t="s">
        <v>28</v>
      </c>
      <c r="B16" s="69" t="s">
        <v>29</v>
      </c>
      <c r="C16" s="70"/>
      <c r="D16" s="71" t="s">
        <v>5</v>
      </c>
      <c r="E16" s="72"/>
      <c r="F16" s="72"/>
      <c r="G16" s="72"/>
      <c r="H16" s="72"/>
      <c r="I16" s="72"/>
      <c r="J16" s="73"/>
      <c r="K16" s="55" t="s">
        <v>17</v>
      </c>
      <c r="L16" s="56"/>
      <c r="M16" s="57"/>
      <c r="N16" s="5" t="s">
        <v>18</v>
      </c>
      <c r="O16" s="5" t="s">
        <v>5</v>
      </c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42.75" customHeight="1" thickBot="1" x14ac:dyDescent="0.3">
      <c r="A17" s="2" t="s">
        <v>30</v>
      </c>
      <c r="B17" s="69" t="s">
        <v>31</v>
      </c>
      <c r="C17" s="70"/>
      <c r="D17" s="55" t="s">
        <v>17</v>
      </c>
      <c r="E17" s="56"/>
      <c r="F17" s="56"/>
      <c r="G17" s="56"/>
      <c r="H17" s="56"/>
      <c r="I17" s="56"/>
      <c r="J17" s="57"/>
      <c r="K17" s="55" t="s">
        <v>17</v>
      </c>
      <c r="L17" s="56"/>
      <c r="M17" s="57"/>
      <c r="N17" s="5" t="s">
        <v>18</v>
      </c>
      <c r="O17" s="5" t="s">
        <v>5</v>
      </c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9" customHeight="1" thickBot="1" x14ac:dyDescent="0.3">
      <c r="A18" s="2" t="s">
        <v>32</v>
      </c>
      <c r="B18" s="69" t="s">
        <v>33</v>
      </c>
      <c r="C18" s="70"/>
      <c r="D18" s="71" t="s">
        <v>5</v>
      </c>
      <c r="E18" s="72"/>
      <c r="F18" s="72"/>
      <c r="G18" s="72"/>
      <c r="H18" s="72"/>
      <c r="I18" s="72"/>
      <c r="J18" s="73"/>
      <c r="K18" s="3">
        <f>209*1.15</f>
        <v>240.35</v>
      </c>
      <c r="L18" s="3">
        <f>193*1.15</f>
        <v>221.95</v>
      </c>
      <c r="M18" s="3">
        <f>164*1.15</f>
        <v>188.6</v>
      </c>
      <c r="N18" s="4" t="s">
        <v>34</v>
      </c>
      <c r="O18" s="4">
        <v>20</v>
      </c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43.5" customHeight="1" thickBot="1" x14ac:dyDescent="0.3">
      <c r="A19" s="2" t="s">
        <v>35</v>
      </c>
      <c r="B19" s="69" t="s">
        <v>36</v>
      </c>
      <c r="C19" s="74"/>
      <c r="D19" s="75" t="s">
        <v>17</v>
      </c>
      <c r="E19" s="56"/>
      <c r="F19" s="56"/>
      <c r="G19" s="56"/>
      <c r="H19" s="56"/>
      <c r="I19" s="56"/>
      <c r="J19" s="57"/>
      <c r="K19" s="55" t="s">
        <v>17</v>
      </c>
      <c r="L19" s="56"/>
      <c r="M19" s="57"/>
      <c r="N19" s="5" t="s">
        <v>18</v>
      </c>
      <c r="O19" s="5" t="s">
        <v>5</v>
      </c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48.75" customHeight="1" thickBot="1" x14ac:dyDescent="0.3">
      <c r="A20" s="2" t="s">
        <v>37</v>
      </c>
      <c r="B20" s="69" t="s">
        <v>38</v>
      </c>
      <c r="C20" s="70"/>
      <c r="D20" s="55" t="s">
        <v>17</v>
      </c>
      <c r="E20" s="56"/>
      <c r="F20" s="56"/>
      <c r="G20" s="56"/>
      <c r="H20" s="56"/>
      <c r="I20" s="56"/>
      <c r="J20" s="57"/>
      <c r="K20" s="55" t="s">
        <v>17</v>
      </c>
      <c r="L20" s="56"/>
      <c r="M20" s="57"/>
      <c r="N20" s="5" t="s">
        <v>18</v>
      </c>
      <c r="O20" s="5" t="s">
        <v>5</v>
      </c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6.5" thickBot="1" x14ac:dyDescent="0.3">
      <c r="A21" s="64" t="s">
        <v>39</v>
      </c>
      <c r="B21" s="64" t="s">
        <v>40</v>
      </c>
      <c r="C21" s="2" t="s">
        <v>41</v>
      </c>
      <c r="D21" s="61">
        <f>189*1.15</f>
        <v>217.35</v>
      </c>
      <c r="E21" s="62"/>
      <c r="F21" s="62"/>
      <c r="G21" s="62"/>
      <c r="H21" s="62"/>
      <c r="I21" s="63"/>
      <c r="J21" s="58">
        <v>40</v>
      </c>
      <c r="K21" s="61">
        <f>56*1.15</f>
        <v>64.399999999999991</v>
      </c>
      <c r="L21" s="62"/>
      <c r="M21" s="63"/>
      <c r="N21" s="58" t="s">
        <v>42</v>
      </c>
      <c r="O21" s="58">
        <v>20</v>
      </c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6.5" thickBot="1" x14ac:dyDescent="0.3">
      <c r="A22" s="65"/>
      <c r="B22" s="65"/>
      <c r="C22" s="2" t="s">
        <v>43</v>
      </c>
      <c r="D22" s="61">
        <f>106*1.15</f>
        <v>121.89999999999999</v>
      </c>
      <c r="E22" s="62"/>
      <c r="F22" s="62"/>
      <c r="G22" s="62"/>
      <c r="H22" s="62"/>
      <c r="I22" s="63"/>
      <c r="J22" s="59"/>
      <c r="K22" s="61">
        <f>33*1.15</f>
        <v>37.949999999999996</v>
      </c>
      <c r="L22" s="62"/>
      <c r="M22" s="63"/>
      <c r="N22" s="59"/>
      <c r="O22" s="59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6.5" thickBot="1" x14ac:dyDescent="0.3">
      <c r="A23" s="65"/>
      <c r="B23" s="66"/>
      <c r="C23" s="2" t="s">
        <v>44</v>
      </c>
      <c r="D23" s="61">
        <f>64*1.15</f>
        <v>73.599999999999994</v>
      </c>
      <c r="E23" s="62"/>
      <c r="F23" s="62"/>
      <c r="G23" s="62"/>
      <c r="H23" s="62"/>
      <c r="I23" s="63"/>
      <c r="J23" s="60"/>
      <c r="K23" s="61">
        <f>23*1.15</f>
        <v>26.45</v>
      </c>
      <c r="L23" s="62"/>
      <c r="M23" s="63"/>
      <c r="N23" s="60"/>
      <c r="O23" s="60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6.5" thickBot="1" x14ac:dyDescent="0.3">
      <c r="A24" s="65"/>
      <c r="B24" s="64" t="s">
        <v>45</v>
      </c>
      <c r="C24" s="2" t="s">
        <v>41</v>
      </c>
      <c r="D24" s="61">
        <f>387*1.15</f>
        <v>445.04999999999995</v>
      </c>
      <c r="E24" s="62"/>
      <c r="F24" s="62"/>
      <c r="G24" s="62"/>
      <c r="H24" s="62"/>
      <c r="I24" s="63"/>
      <c r="J24" s="58">
        <v>40</v>
      </c>
      <c r="K24" s="61">
        <f>112*1.15</f>
        <v>128.79999999999998</v>
      </c>
      <c r="L24" s="62"/>
      <c r="M24" s="63"/>
      <c r="N24" s="58" t="s">
        <v>42</v>
      </c>
      <c r="O24" s="58">
        <v>20</v>
      </c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6.5" thickBot="1" x14ac:dyDescent="0.3">
      <c r="A25" s="65"/>
      <c r="B25" s="65"/>
      <c r="C25" s="2" t="s">
        <v>43</v>
      </c>
      <c r="D25" s="61">
        <f>211*1.15</f>
        <v>242.64999999999998</v>
      </c>
      <c r="E25" s="62"/>
      <c r="F25" s="62"/>
      <c r="G25" s="62"/>
      <c r="H25" s="62"/>
      <c r="I25" s="63"/>
      <c r="J25" s="59"/>
      <c r="K25" s="61">
        <f>66*1.15</f>
        <v>75.899999999999991</v>
      </c>
      <c r="L25" s="62"/>
      <c r="M25" s="63"/>
      <c r="N25" s="59"/>
      <c r="O25" s="59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6.5" thickBot="1" x14ac:dyDescent="0.3">
      <c r="A26" s="66"/>
      <c r="B26" s="66"/>
      <c r="C26" s="2" t="s">
        <v>44</v>
      </c>
      <c r="D26" s="61">
        <f>128*1.15</f>
        <v>147.19999999999999</v>
      </c>
      <c r="E26" s="62"/>
      <c r="F26" s="62"/>
      <c r="G26" s="62"/>
      <c r="H26" s="62"/>
      <c r="I26" s="63"/>
      <c r="J26" s="60"/>
      <c r="K26" s="61">
        <f>45*1.15</f>
        <v>51.749999999999993</v>
      </c>
      <c r="L26" s="62"/>
      <c r="M26" s="63"/>
      <c r="N26" s="60"/>
      <c r="O26" s="60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6.5" thickBot="1" x14ac:dyDescent="0.3">
      <c r="A27" s="8" t="s">
        <v>46</v>
      </c>
      <c r="B27" s="51" t="s">
        <v>47</v>
      </c>
      <c r="C27" s="52"/>
      <c r="D27" s="10">
        <f>51*1.15</f>
        <v>58.65</v>
      </c>
      <c r="E27" s="10">
        <f>36*1.15</f>
        <v>41.4</v>
      </c>
      <c r="F27" s="10">
        <f>27*1.15</f>
        <v>31.049999999999997</v>
      </c>
      <c r="G27" s="11">
        <f>22*1.15</f>
        <v>25.299999999999997</v>
      </c>
      <c r="H27" s="53">
        <f>14*1.15</f>
        <v>16.099999999999998</v>
      </c>
      <c r="I27" s="54"/>
      <c r="J27" s="4">
        <v>40</v>
      </c>
      <c r="K27" s="55" t="s">
        <v>17</v>
      </c>
      <c r="L27" s="56"/>
      <c r="M27" s="57"/>
      <c r="N27" s="5" t="s">
        <v>18</v>
      </c>
      <c r="O27" s="5" t="s">
        <v>5</v>
      </c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36.75" customHeight="1" thickBot="1" x14ac:dyDescent="0.3">
      <c r="A28" s="12" t="s">
        <v>76</v>
      </c>
      <c r="B28" s="48" t="s">
        <v>66</v>
      </c>
      <c r="C28" s="49"/>
      <c r="D28" s="13">
        <f>10*1.15</f>
        <v>11.5</v>
      </c>
      <c r="E28" s="13">
        <f>9*1.15</f>
        <v>10.35</v>
      </c>
      <c r="F28" s="13">
        <f>8*1.15</f>
        <v>9.1999999999999993</v>
      </c>
      <c r="G28" s="14">
        <f>8*1.15</f>
        <v>9.1999999999999993</v>
      </c>
      <c r="H28" s="47">
        <f>7*1.15</f>
        <v>8.0499999999999989</v>
      </c>
      <c r="I28" s="30"/>
      <c r="J28" s="15">
        <v>40</v>
      </c>
      <c r="K28" s="33" t="s">
        <v>17</v>
      </c>
      <c r="L28" s="31"/>
      <c r="M28" s="32"/>
      <c r="N28" s="16" t="s">
        <v>18</v>
      </c>
      <c r="O28" s="16" t="s">
        <v>5</v>
      </c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39" customHeight="1" thickBot="1" x14ac:dyDescent="0.3">
      <c r="A29" s="17" t="s">
        <v>71</v>
      </c>
      <c r="B29" s="50" t="s">
        <v>67</v>
      </c>
      <c r="C29" s="50"/>
      <c r="D29" s="18">
        <f>38*1.15</f>
        <v>43.699999999999996</v>
      </c>
      <c r="E29" s="19">
        <f>31*1.15</f>
        <v>35.65</v>
      </c>
      <c r="F29" s="20">
        <f>26*1.15</f>
        <v>29.9</v>
      </c>
      <c r="G29" s="13">
        <f>24*1.15</f>
        <v>27.599999999999998</v>
      </c>
      <c r="H29" s="29">
        <f>23*1.15</f>
        <v>26.45</v>
      </c>
      <c r="I29" s="30"/>
      <c r="J29" s="21">
        <v>40</v>
      </c>
      <c r="K29" s="31" t="s">
        <v>17</v>
      </c>
      <c r="L29" s="31"/>
      <c r="M29" s="32"/>
      <c r="N29" s="16" t="s">
        <v>18</v>
      </c>
      <c r="O29" s="16" t="s">
        <v>5</v>
      </c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36" customHeight="1" thickBot="1" x14ac:dyDescent="0.3">
      <c r="A30" s="12" t="s">
        <v>72</v>
      </c>
      <c r="B30" s="22" t="s">
        <v>74</v>
      </c>
      <c r="C30" s="23"/>
      <c r="D30" s="13">
        <f>601*1.15</f>
        <v>691.15</v>
      </c>
      <c r="E30" s="19">
        <f>478*1.15</f>
        <v>549.69999999999993</v>
      </c>
      <c r="F30" s="20">
        <f>414*1.15</f>
        <v>476.09999999999997</v>
      </c>
      <c r="G30" s="13">
        <f>377*1.15</f>
        <v>433.54999999999995</v>
      </c>
      <c r="H30" s="29">
        <f>357*1.15</f>
        <v>410.54999999999995</v>
      </c>
      <c r="I30" s="30"/>
      <c r="J30" s="21">
        <v>40</v>
      </c>
      <c r="K30" s="31" t="s">
        <v>17</v>
      </c>
      <c r="L30" s="31"/>
      <c r="M30" s="32"/>
      <c r="N30" s="16" t="s">
        <v>18</v>
      </c>
      <c r="O30" s="16" t="s">
        <v>5</v>
      </c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9.5" customHeight="1" thickBot="1" x14ac:dyDescent="0.3">
      <c r="A31" s="24" t="s">
        <v>73</v>
      </c>
      <c r="B31" s="34" t="s">
        <v>68</v>
      </c>
      <c r="C31" s="35"/>
      <c r="D31" s="44">
        <f>80*1.15</f>
        <v>92</v>
      </c>
      <c r="E31" s="44">
        <f>59*1.15</f>
        <v>67.849999999999994</v>
      </c>
      <c r="F31" s="44">
        <f>46*1.15</f>
        <v>52.9</v>
      </c>
      <c r="G31" s="44">
        <f>40*1.15</f>
        <v>46</v>
      </c>
      <c r="H31" s="44">
        <f>32*1.15</f>
        <v>36.799999999999997</v>
      </c>
      <c r="I31" s="44"/>
      <c r="J31" s="45">
        <v>40</v>
      </c>
      <c r="K31" s="38" t="s">
        <v>5</v>
      </c>
      <c r="L31" s="39"/>
      <c r="M31" s="39"/>
      <c r="N31" s="39"/>
      <c r="O31" s="39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67.5" customHeight="1" thickBot="1" x14ac:dyDescent="0.3">
      <c r="A32" s="24"/>
      <c r="B32" s="25" t="s">
        <v>69</v>
      </c>
      <c r="C32" s="26" t="s">
        <v>78</v>
      </c>
      <c r="D32" s="44"/>
      <c r="E32" s="44"/>
      <c r="F32" s="44"/>
      <c r="G32" s="44"/>
      <c r="H32" s="44"/>
      <c r="I32" s="44"/>
      <c r="J32" s="46"/>
      <c r="K32" s="40"/>
      <c r="L32" s="41"/>
      <c r="M32" s="41"/>
      <c r="N32" s="41"/>
      <c r="O32" s="41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50.25" customHeight="1" thickBot="1" x14ac:dyDescent="0.3">
      <c r="A33" s="24"/>
      <c r="B33" s="27" t="s">
        <v>25</v>
      </c>
      <c r="C33" s="28" t="s">
        <v>78</v>
      </c>
      <c r="D33" s="36" t="s">
        <v>70</v>
      </c>
      <c r="E33" s="36"/>
      <c r="F33" s="36"/>
      <c r="G33" s="36"/>
      <c r="H33" s="36"/>
      <c r="I33" s="36"/>
      <c r="J33" s="37"/>
      <c r="K33" s="31" t="s">
        <v>5</v>
      </c>
      <c r="L33" s="31"/>
      <c r="M33" s="31"/>
      <c r="N33" s="31"/>
      <c r="O33" s="32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28.5" customHeight="1" thickBot="1" x14ac:dyDescent="0.3">
      <c r="A34" s="12" t="s">
        <v>75</v>
      </c>
      <c r="B34" s="42" t="s">
        <v>77</v>
      </c>
      <c r="C34" s="43"/>
      <c r="D34" s="31" t="s">
        <v>17</v>
      </c>
      <c r="E34" s="31"/>
      <c r="F34" s="31"/>
      <c r="G34" s="31"/>
      <c r="H34" s="31"/>
      <c r="I34" s="31"/>
      <c r="J34" s="32"/>
      <c r="K34" s="33" t="s">
        <v>5</v>
      </c>
      <c r="L34" s="31"/>
      <c r="M34" s="31"/>
      <c r="N34" s="31"/>
      <c r="O34" s="32"/>
      <c r="P34" s="1"/>
      <c r="Q34" s="1"/>
      <c r="R34" s="1"/>
      <c r="S34" s="1"/>
      <c r="T34" s="1"/>
      <c r="U34" s="1"/>
      <c r="V34" s="1"/>
    </row>
    <row r="36" spans="1:25" x14ac:dyDescent="0.25">
      <c r="H36" s="9"/>
    </row>
  </sheetData>
  <mergeCells count="98">
    <mergeCell ref="B5:C5"/>
    <mergeCell ref="I5:J5"/>
    <mergeCell ref="B6:C6"/>
    <mergeCell ref="A1:O1"/>
    <mergeCell ref="A2:A4"/>
    <mergeCell ref="B2:C4"/>
    <mergeCell ref="D2:J2"/>
    <mergeCell ref="K2:O2"/>
    <mergeCell ref="D3:H3"/>
    <mergeCell ref="I3:J4"/>
    <mergeCell ref="K3:M3"/>
    <mergeCell ref="N3:N4"/>
    <mergeCell ref="O3:O4"/>
    <mergeCell ref="I6:J6"/>
    <mergeCell ref="K6:O6"/>
    <mergeCell ref="B8:C8"/>
    <mergeCell ref="I8:J8"/>
    <mergeCell ref="K8:O8"/>
    <mergeCell ref="B7:C7"/>
    <mergeCell ref="I7:J7"/>
    <mergeCell ref="K7:O7"/>
    <mergeCell ref="B9:C9"/>
    <mergeCell ref="I9:J9"/>
    <mergeCell ref="K9:O9"/>
    <mergeCell ref="B15:C15"/>
    <mergeCell ref="I15:J15"/>
    <mergeCell ref="K15:M15"/>
    <mergeCell ref="B10:C10"/>
    <mergeCell ref="D10:J10"/>
    <mergeCell ref="B11:C11"/>
    <mergeCell ref="D11:J11"/>
    <mergeCell ref="K11:M11"/>
    <mergeCell ref="B12:C12"/>
    <mergeCell ref="I12:J12"/>
    <mergeCell ref="B13:C13"/>
    <mergeCell ref="I13:J13"/>
    <mergeCell ref="B14:C14"/>
    <mergeCell ref="I14:J14"/>
    <mergeCell ref="K14:M14"/>
    <mergeCell ref="B20:C20"/>
    <mergeCell ref="D20:J20"/>
    <mergeCell ref="K20:M20"/>
    <mergeCell ref="B16:C16"/>
    <mergeCell ref="D16:J16"/>
    <mergeCell ref="K16:M16"/>
    <mergeCell ref="B17:C17"/>
    <mergeCell ref="D17:J17"/>
    <mergeCell ref="K17:M17"/>
    <mergeCell ref="B18:C18"/>
    <mergeCell ref="D18:J18"/>
    <mergeCell ref="B19:C19"/>
    <mergeCell ref="D19:J19"/>
    <mergeCell ref="K19:M19"/>
    <mergeCell ref="A21:A26"/>
    <mergeCell ref="B21:B23"/>
    <mergeCell ref="D21:I21"/>
    <mergeCell ref="J21:J23"/>
    <mergeCell ref="K21:M21"/>
    <mergeCell ref="K25:M25"/>
    <mergeCell ref="D26:I26"/>
    <mergeCell ref="K26:M26"/>
    <mergeCell ref="B27:C27"/>
    <mergeCell ref="H27:I27"/>
    <mergeCell ref="K27:M27"/>
    <mergeCell ref="O21:O23"/>
    <mergeCell ref="D22:I22"/>
    <mergeCell ref="K22:M22"/>
    <mergeCell ref="D23:I23"/>
    <mergeCell ref="K23:M23"/>
    <mergeCell ref="B24:B26"/>
    <mergeCell ref="D24:I24"/>
    <mergeCell ref="J24:J26"/>
    <mergeCell ref="K24:M24"/>
    <mergeCell ref="N24:N26"/>
    <mergeCell ref="N21:N23"/>
    <mergeCell ref="O24:O26"/>
    <mergeCell ref="D25:I25"/>
    <mergeCell ref="H28:I28"/>
    <mergeCell ref="K28:M28"/>
    <mergeCell ref="B28:C28"/>
    <mergeCell ref="B29:C29"/>
    <mergeCell ref="H29:I29"/>
    <mergeCell ref="K29:M29"/>
    <mergeCell ref="H30:I30"/>
    <mergeCell ref="K30:M30"/>
    <mergeCell ref="D34:J34"/>
    <mergeCell ref="K34:O34"/>
    <mergeCell ref="B31:C31"/>
    <mergeCell ref="D33:J33"/>
    <mergeCell ref="K33:O33"/>
    <mergeCell ref="K31:O32"/>
    <mergeCell ref="B34:C34"/>
    <mergeCell ref="D31:D32"/>
    <mergeCell ref="E31:E32"/>
    <mergeCell ref="F31:F32"/>
    <mergeCell ref="G31:G32"/>
    <mergeCell ref="H31:I32"/>
    <mergeCell ref="J31:J32"/>
  </mergeCells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ethen</dc:creator>
  <cp:lastModifiedBy>jacob edwards</cp:lastModifiedBy>
  <cp:lastPrinted>2016-04-22T22:07:02Z</cp:lastPrinted>
  <dcterms:created xsi:type="dcterms:W3CDTF">2014-04-02T18:00:52Z</dcterms:created>
  <dcterms:modified xsi:type="dcterms:W3CDTF">2018-06-04T20:01:31Z</dcterms:modified>
</cp:coreProperties>
</file>